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omments3.xml" ContentType="application/vnd.openxmlformats-officedocument.spreadsheetml.comments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omments4.xml" ContentType="application/vnd.openxmlformats-officedocument.spreadsheetml.comment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bory-Plnička\Rozbory hospodaření - 2025\Plnění rozpočtu k 31. 3. 2025\ZOK\"/>
    </mc:Choice>
  </mc:AlternateContent>
  <xr:revisionPtr revIDLastSave="0" documentId="13_ncr:1_{CDD3A84B-00CC-4C3E-9429-F53F8B29DDB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ance OK - příloha č.1" sheetId="14" r:id="rId1"/>
    <sheet name="Příjmy OK - příloha č. 2" sheetId="1" r:id="rId2"/>
    <sheet name="Výdaje OK - příloha č. 2" sheetId="2" r:id="rId3"/>
    <sheet name="Financování OK - příloha č. 2" sheetId="10" r:id="rId4"/>
    <sheet name="Rekapitulace OK - příloha č. 2" sheetId="3" r:id="rId5"/>
    <sheet name="Výdaje (2)" sheetId="6" state="hidden" r:id="rId6"/>
    <sheet name="List2" sheetId="4" state="hidden" r:id="rId7"/>
    <sheet name="8115-zap.zůst.k 31.12.2011" sheetId="5" state="hidden" r:id="rId8"/>
    <sheet name="Rekapitulace (2)" sheetId="8" state="hidden" r:id="rId9"/>
    <sheet name="List4" sheetId="9" state="hidden" r:id="rId10"/>
  </sheets>
  <definedNames>
    <definedName name="_xlnm.Print_Area" localSheetId="0">'Bilance OK - příloha č.1'!$A$1:$O$53</definedName>
    <definedName name="_xlnm.Print_Area" localSheetId="3">'Financování OK - příloha č. 2'!$A$1:$E$17</definedName>
    <definedName name="_xlnm.Print_Area" localSheetId="1">'Příjmy OK - příloha č. 2'!$A$1:$E$18</definedName>
    <definedName name="_xlnm.Print_Area" localSheetId="8">'Rekapitulace (2)'!$A$1:$H$66</definedName>
    <definedName name="_xlnm.Print_Area" localSheetId="4">'Rekapitulace OK - příloha č. 2'!$A$1:$H$39</definedName>
    <definedName name="_xlnm.Print_Area" localSheetId="5">'Výdaje (2)'!$A$1:$F$53</definedName>
    <definedName name="_xlnm.Print_Area" localSheetId="2">'Výdaje OK - příloha č. 2'!$A$1:$F$123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6" i="10" l="1"/>
  <c r="H53" i="14"/>
  <c r="D37" i="14"/>
  <c r="D50" i="14"/>
  <c r="E27" i="14"/>
  <c r="E16" i="14" l="1"/>
  <c r="L41" i="14" l="1"/>
  <c r="C41" i="14"/>
  <c r="H41" i="14"/>
  <c r="B41" i="14"/>
  <c r="G41" i="14"/>
  <c r="N26" i="14" l="1"/>
  <c r="M26" i="14"/>
  <c r="B20" i="14"/>
  <c r="G20" i="14"/>
  <c r="G25" i="14"/>
  <c r="N24" i="14"/>
  <c r="M24" i="14"/>
  <c r="I24" i="14"/>
  <c r="H24" i="14"/>
  <c r="G24" i="14"/>
  <c r="D20" i="14"/>
  <c r="C20" i="14"/>
  <c r="N14" i="14"/>
  <c r="M14" i="14"/>
  <c r="H14" i="14"/>
  <c r="N15" i="14"/>
  <c r="M15" i="14"/>
  <c r="I15" i="14"/>
  <c r="H15" i="14"/>
  <c r="L14" i="14"/>
  <c r="I14" i="14"/>
  <c r="G14" i="14"/>
  <c r="N11" i="14"/>
  <c r="M11" i="14"/>
  <c r="G11" i="14"/>
  <c r="I7" i="14"/>
  <c r="H7" i="14"/>
  <c r="C7" i="14" s="1"/>
  <c r="G7" i="14"/>
  <c r="B7" i="14"/>
  <c r="E117" i="2"/>
  <c r="D117" i="2"/>
  <c r="D121" i="2"/>
  <c r="D106" i="2"/>
  <c r="E94" i="2"/>
  <c r="D94" i="2"/>
  <c r="C94" i="2"/>
  <c r="D90" i="2"/>
  <c r="C90" i="2"/>
  <c r="C117" i="2"/>
  <c r="F83" i="2"/>
  <c r="D123" i="2" l="1"/>
  <c r="D125" i="2"/>
  <c r="D45" i="2"/>
  <c r="E42" i="2"/>
  <c r="D42" i="2"/>
  <c r="C42" i="2"/>
  <c r="E33" i="2"/>
  <c r="D33" i="2"/>
  <c r="C33" i="2"/>
  <c r="E29" i="2"/>
  <c r="D29" i="2"/>
  <c r="C29" i="2"/>
  <c r="F30" i="2"/>
  <c r="E24" i="2"/>
  <c r="D24" i="2"/>
  <c r="C24" i="2"/>
  <c r="C11" i="2"/>
  <c r="E11" i="2"/>
  <c r="D11" i="2"/>
  <c r="E7" i="2"/>
  <c r="D7" i="2"/>
  <c r="C7" i="2"/>
  <c r="E118" i="2"/>
  <c r="D118" i="2"/>
  <c r="C118" i="2"/>
  <c r="C16" i="10"/>
  <c r="B16" i="10"/>
  <c r="B22" i="14" l="1"/>
  <c r="N6" i="14" l="1"/>
  <c r="M6" i="14"/>
  <c r="L6" i="14"/>
  <c r="F54" i="2"/>
  <c r="E10" i="10"/>
  <c r="F98" i="2" l="1"/>
  <c r="E97" i="2"/>
  <c r="D97" i="2"/>
  <c r="C97" i="2"/>
  <c r="F97" i="2" l="1"/>
  <c r="E37" i="2"/>
  <c r="F43" i="2"/>
  <c r="E11" i="1" l="1"/>
  <c r="E9" i="1" l="1"/>
  <c r="H26" i="14" l="1"/>
  <c r="I26" i="14"/>
  <c r="G26" i="14" l="1"/>
  <c r="B21" i="14" l="1"/>
  <c r="I11" i="14"/>
  <c r="L13" i="14"/>
  <c r="I13" i="14"/>
  <c r="H13" i="14"/>
  <c r="G13" i="14"/>
  <c r="B13" i="14" l="1"/>
  <c r="M13" i="14"/>
  <c r="C13" i="14" s="1"/>
  <c r="C12" i="14"/>
  <c r="D12" i="14"/>
  <c r="B12" i="14"/>
  <c r="O11" i="14" l="1"/>
  <c r="E11" i="14"/>
  <c r="O10" i="14"/>
  <c r="O9" i="14"/>
  <c r="J8" i="14"/>
  <c r="J7" i="14"/>
  <c r="H6" i="14"/>
  <c r="I6" i="14"/>
  <c r="H35" i="14" s="1"/>
  <c r="G6" i="14"/>
  <c r="D10" i="14"/>
  <c r="C10" i="14"/>
  <c r="B10" i="14"/>
  <c r="D9" i="14"/>
  <c r="C9" i="14"/>
  <c r="B9" i="14"/>
  <c r="D8" i="14"/>
  <c r="C8" i="14"/>
  <c r="B8" i="14"/>
  <c r="D7" i="14"/>
  <c r="E9" i="14" l="1"/>
  <c r="O6" i="14"/>
  <c r="B6" i="14"/>
  <c r="H11" i="14"/>
  <c r="J11" i="14" s="1"/>
  <c r="C6" i="14"/>
  <c r="E8" i="14"/>
  <c r="J6" i="14"/>
  <c r="E7" i="14"/>
  <c r="D6" i="14"/>
  <c r="E10" i="14"/>
  <c r="E6" i="14" l="1"/>
  <c r="E28" i="2"/>
  <c r="E72" i="2"/>
  <c r="D72" i="2"/>
  <c r="C72" i="2"/>
  <c r="F74" i="2"/>
  <c r="C68" i="2"/>
  <c r="E68" i="2"/>
  <c r="D68" i="2"/>
  <c r="F73" i="2"/>
  <c r="F57" i="2"/>
  <c r="F61" i="2"/>
  <c r="C67" i="2" l="1"/>
  <c r="D67" i="2"/>
  <c r="F68" i="2"/>
  <c r="E67" i="2"/>
  <c r="F72" i="2"/>
  <c r="F67" i="2" l="1"/>
  <c r="D10" i="2"/>
  <c r="C10" i="2"/>
  <c r="D107" i="2"/>
  <c r="E107" i="2"/>
  <c r="C107" i="2"/>
  <c r="C120" i="2" s="1"/>
  <c r="F13" i="2"/>
  <c r="E10" i="2"/>
  <c r="F10" i="2" l="1"/>
  <c r="F11" i="2"/>
  <c r="O26" i="14"/>
  <c r="O24" i="14"/>
  <c r="O21" i="14"/>
  <c r="J24" i="14"/>
  <c r="J23" i="14"/>
  <c r="J22" i="14"/>
  <c r="J21" i="14"/>
  <c r="E26" i="14"/>
  <c r="E20" i="14"/>
  <c r="O15" i="14"/>
  <c r="J15" i="14"/>
  <c r="J14" i="14"/>
  <c r="J13" i="14"/>
  <c r="J12" i="14"/>
  <c r="E12" i="14"/>
  <c r="O25" i="14" l="1"/>
  <c r="H40" i="14" l="1"/>
  <c r="I40" i="14" s="1"/>
  <c r="M40" i="14" l="1"/>
  <c r="N40" i="14" s="1"/>
  <c r="H39" i="14"/>
  <c r="I39" i="14" s="1"/>
  <c r="M50" i="14" l="1"/>
  <c r="N50" i="14" s="1"/>
  <c r="M48" i="14"/>
  <c r="N48" i="14" s="1"/>
  <c r="M47" i="14"/>
  <c r="M46" i="14"/>
  <c r="M45" i="14"/>
  <c r="N45" i="14" s="1"/>
  <c r="M49" i="14"/>
  <c r="H48" i="14"/>
  <c r="I48" i="14" s="1"/>
  <c r="N49" i="14" l="1"/>
  <c r="C50" i="14"/>
  <c r="C48" i="14"/>
  <c r="D48" i="14" s="1"/>
  <c r="C46" i="14"/>
  <c r="D46" i="14" s="1"/>
  <c r="H46" i="14"/>
  <c r="I46" i="14" s="1"/>
  <c r="H47" i="14"/>
  <c r="I47" i="14" s="1"/>
  <c r="H45" i="14"/>
  <c r="I45" i="14" s="1"/>
  <c r="M36" i="14"/>
  <c r="M35" i="14"/>
  <c r="H38" i="14"/>
  <c r="I38" i="14" s="1"/>
  <c r="H37" i="14"/>
  <c r="I37" i="14" s="1"/>
  <c r="H36" i="14"/>
  <c r="I36" i="14" l="1"/>
  <c r="C45" i="14"/>
  <c r="D45" i="14" s="1"/>
  <c r="C47" i="14"/>
  <c r="D47" i="14" s="1"/>
  <c r="C37" i="14"/>
  <c r="C36" i="14"/>
  <c r="D36" i="14" s="1"/>
  <c r="M20" i="14"/>
  <c r="H20" i="14" s="1"/>
  <c r="H25" i="14" s="1"/>
  <c r="N20" i="14"/>
  <c r="M44" i="14" s="1"/>
  <c r="N44" i="14" s="1"/>
  <c r="L20" i="14"/>
  <c r="D24" i="14"/>
  <c r="D27" i="14"/>
  <c r="C27" i="14"/>
  <c r="B27" i="14"/>
  <c r="C24" i="14"/>
  <c r="B24" i="14"/>
  <c r="C23" i="14"/>
  <c r="D23" i="14"/>
  <c r="B23" i="14"/>
  <c r="C22" i="14"/>
  <c r="D22" i="14"/>
  <c r="D21" i="14"/>
  <c r="C21" i="14"/>
  <c r="E23" i="14" l="1"/>
  <c r="E21" i="14"/>
  <c r="M27" i="14"/>
  <c r="N27" i="14"/>
  <c r="E24" i="14"/>
  <c r="L27" i="14"/>
  <c r="O20" i="14"/>
  <c r="E22" i="14"/>
  <c r="C15" i="14"/>
  <c r="D15" i="14"/>
  <c r="C40" i="14" s="1"/>
  <c r="D40" i="14" s="1"/>
  <c r="B15" i="14"/>
  <c r="C14" i="14"/>
  <c r="O27" i="14" l="1"/>
  <c r="G27" i="14"/>
  <c r="B25" i="14"/>
  <c r="E15" i="14"/>
  <c r="H16" i="14"/>
  <c r="G16" i="14"/>
  <c r="C16" i="14"/>
  <c r="G29" i="14" l="1"/>
  <c r="C29" i="14"/>
  <c r="I35" i="14"/>
  <c r="I16" i="14"/>
  <c r="C44" i="14"/>
  <c r="D44" i="14" s="1"/>
  <c r="H50" i="14"/>
  <c r="I50" i="14" s="1"/>
  <c r="I20" i="14"/>
  <c r="I25" i="14" s="1"/>
  <c r="M16" i="14"/>
  <c r="M29" i="14" s="1"/>
  <c r="I27" i="14" l="1"/>
  <c r="I29" i="14" s="1"/>
  <c r="J26" i="14"/>
  <c r="J16" i="14"/>
  <c r="C35" i="14"/>
  <c r="M37" i="14"/>
  <c r="H44" i="14"/>
  <c r="I44" i="14" s="1"/>
  <c r="C51" i="14"/>
  <c r="N36" i="14"/>
  <c r="L51" i="14"/>
  <c r="H51" i="14" l="1"/>
  <c r="L53" i="14"/>
  <c r="J20" i="14"/>
  <c r="H27" i="14"/>
  <c r="D25" i="14"/>
  <c r="H49" i="14"/>
  <c r="D35" i="14"/>
  <c r="B51" i="14"/>
  <c r="D51" i="14" s="1"/>
  <c r="M51" i="14"/>
  <c r="N51" i="14" s="1"/>
  <c r="N35" i="14"/>
  <c r="G51" i="14"/>
  <c r="G53" i="14" s="1"/>
  <c r="J27" i="14" l="1"/>
  <c r="H29" i="14"/>
  <c r="I49" i="14"/>
  <c r="C49" i="14"/>
  <c r="D49" i="14" s="1"/>
  <c r="C25" i="14"/>
  <c r="E25" i="14" s="1"/>
  <c r="J25" i="14"/>
  <c r="B53" i="14"/>
  <c r="I51" i="14"/>
  <c r="I41" i="14" l="1"/>
  <c r="C28" i="2"/>
  <c r="F82" i="2" l="1"/>
  <c r="F33" i="2" l="1"/>
  <c r="F40" i="2" l="1"/>
  <c r="D13" i="1" l="1"/>
  <c r="C13" i="1"/>
  <c r="B13" i="1"/>
  <c r="E120" i="2" l="1"/>
  <c r="E122" i="2" s="1"/>
  <c r="D76" i="2"/>
  <c r="E76" i="2"/>
  <c r="C76" i="2"/>
  <c r="D16" i="10" l="1"/>
  <c r="F9" i="3"/>
  <c r="D56" i="2" l="1"/>
  <c r="D37" i="2" l="1"/>
  <c r="C37" i="2"/>
  <c r="E32" i="2" l="1"/>
  <c r="C32" i="2"/>
  <c r="C17" i="2"/>
  <c r="C6" i="2"/>
  <c r="C14" i="2" l="1"/>
  <c r="C122" i="2" l="1"/>
  <c r="C103" i="2"/>
  <c r="C99" i="2"/>
  <c r="C93" i="2"/>
  <c r="C88" i="2"/>
  <c r="C85" i="2"/>
  <c r="C80" i="2"/>
  <c r="C60" i="2"/>
  <c r="C56" i="2"/>
  <c r="C52" i="2"/>
  <c r="C48" i="2"/>
  <c r="C44" i="2"/>
  <c r="C41" i="2"/>
  <c r="C23" i="2"/>
  <c r="C20" i="2"/>
  <c r="C106" i="2" l="1"/>
  <c r="C47" i="2"/>
  <c r="C55" i="2"/>
  <c r="C75" i="2"/>
  <c r="C36" i="2"/>
  <c r="C121" i="2"/>
  <c r="C123" i="2" s="1"/>
  <c r="C108" i="2" l="1"/>
  <c r="D41" i="2"/>
  <c r="E41" i="2"/>
  <c r="D44" i="2"/>
  <c r="E44" i="2"/>
  <c r="F118" i="2" l="1"/>
  <c r="F119" i="2"/>
  <c r="F91" i="2"/>
  <c r="D23" i="2" l="1"/>
  <c r="E20" i="2"/>
  <c r="D20" i="2"/>
  <c r="F22" i="2"/>
  <c r="F21" i="2"/>
  <c r="F20" i="2" l="1"/>
  <c r="D88" i="2" l="1"/>
  <c r="E88" i="2"/>
  <c r="F90" i="2"/>
  <c r="D85" i="2"/>
  <c r="E85" i="2"/>
  <c r="E56" i="2"/>
  <c r="F71" i="2"/>
  <c r="F69" i="2"/>
  <c r="F81" i="2"/>
  <c r="D80" i="2"/>
  <c r="E80" i="2"/>
  <c r="D60" i="2"/>
  <c r="E60" i="2"/>
  <c r="F53" i="2"/>
  <c r="D52" i="2"/>
  <c r="E52" i="2"/>
  <c r="D48" i="2"/>
  <c r="E48" i="2"/>
  <c r="D32" i="2"/>
  <c r="D28" i="2"/>
  <c r="E23" i="2"/>
  <c r="D17" i="2"/>
  <c r="E17" i="2"/>
  <c r="D14" i="2"/>
  <c r="E14" i="2"/>
  <c r="D6" i="2"/>
  <c r="D55" i="2" l="1"/>
  <c r="E55" i="2"/>
  <c r="F56" i="2"/>
  <c r="F28" i="2"/>
  <c r="D120" i="2"/>
  <c r="F120" i="2" s="1"/>
  <c r="D122" i="2" l="1"/>
  <c r="F122" i="2" s="1"/>
  <c r="F102" i="2" l="1"/>
  <c r="E14" i="10" l="1"/>
  <c r="E9" i="10"/>
  <c r="E14" i="1"/>
  <c r="E12" i="1"/>
  <c r="E10" i="1"/>
  <c r="F16" i="2" l="1"/>
  <c r="D99" i="2" l="1"/>
  <c r="E99" i="2"/>
  <c r="F79" i="2" l="1"/>
  <c r="F59" i="2"/>
  <c r="F51" i="2" l="1"/>
  <c r="F35" i="2" l="1"/>
  <c r="F31" i="2"/>
  <c r="E9" i="3" l="1"/>
  <c r="G9" i="3" l="1"/>
  <c r="H9" i="3" l="1"/>
  <c r="F92" i="2" l="1"/>
  <c r="D36" i="2" l="1"/>
  <c r="F62" i="2" l="1"/>
  <c r="F9" i="2" l="1"/>
  <c r="F49" i="2" l="1"/>
  <c r="F87" i="2" l="1"/>
  <c r="D47" i="2" l="1"/>
  <c r="E47" i="2" l="1"/>
  <c r="F52" i="2" l="1"/>
  <c r="D15" i="1" l="1"/>
  <c r="G7" i="3" l="1"/>
  <c r="C15" i="1" l="1"/>
  <c r="E15" i="1" s="1"/>
  <c r="E13" i="1"/>
  <c r="F7" i="3" l="1"/>
  <c r="H7" i="3" l="1"/>
  <c r="F88" i="2"/>
  <c r="E36" i="2" l="1"/>
  <c r="F37" i="2"/>
  <c r="F36" i="2" l="1"/>
  <c r="D75" i="2" l="1"/>
  <c r="F89" i="2" l="1"/>
  <c r="G38" i="5" l="1"/>
  <c r="G37" i="5"/>
  <c r="G34" i="5"/>
  <c r="G33" i="5"/>
  <c r="F9" i="6" l="1"/>
  <c r="I7" i="6"/>
  <c r="H7" i="6"/>
  <c r="F7" i="6"/>
  <c r="F6" i="6"/>
  <c r="F5" i="6"/>
  <c r="E4" i="6"/>
  <c r="D4" i="6"/>
  <c r="C4" i="6"/>
  <c r="F4" i="6" l="1"/>
  <c r="E11" i="6"/>
  <c r="E10" i="6"/>
  <c r="G30" i="5" l="1"/>
  <c r="C44" i="5" s="1"/>
  <c r="C3" i="5" l="1"/>
  <c r="C48" i="5" s="1"/>
  <c r="F48" i="2" l="1"/>
  <c r="F14" i="2"/>
  <c r="F17" i="2"/>
  <c r="E103" i="2"/>
  <c r="D103" i="2"/>
  <c r="F24" i="2"/>
  <c r="B15" i="1"/>
  <c r="F107" i="2"/>
  <c r="F104" i="2"/>
  <c r="F95" i="2"/>
  <c r="F86" i="2"/>
  <c r="F45" i="2"/>
  <c r="F42" i="2"/>
  <c r="F38" i="2"/>
  <c r="F29" i="2"/>
  <c r="F19" i="2"/>
  <c r="F18" i="2"/>
  <c r="F15" i="2"/>
  <c r="E7" i="3" l="1"/>
  <c r="F77" i="2"/>
  <c r="E75" i="2"/>
  <c r="F99" i="2"/>
  <c r="G7" i="8"/>
  <c r="F41" i="2"/>
  <c r="F60" i="2"/>
  <c r="F103" i="2"/>
  <c r="F85" i="2"/>
  <c r="F32" i="2"/>
  <c r="F23" i="2"/>
  <c r="B6" i="4"/>
  <c r="F44" i="2"/>
  <c r="F55" i="2"/>
  <c r="F80" i="2"/>
  <c r="F47" i="2"/>
  <c r="F76" i="2" l="1"/>
  <c r="B4" i="4"/>
  <c r="E41" i="8"/>
  <c r="E7" i="8"/>
  <c r="F75" i="2"/>
  <c r="B35" i="4"/>
  <c r="G41" i="8"/>
  <c r="F7" i="8"/>
  <c r="H7" i="8" s="1"/>
  <c r="B33" i="4"/>
  <c r="E8" i="3" l="1"/>
  <c r="C4" i="4" s="1"/>
  <c r="F41" i="8"/>
  <c r="H41" i="8" s="1"/>
  <c r="E9" i="8" l="1"/>
  <c r="C33" i="4"/>
  <c r="F9" i="8"/>
  <c r="F42" i="8"/>
  <c r="B5" i="4"/>
  <c r="B34" i="4"/>
  <c r="E42" i="8" l="1"/>
  <c r="C34" i="4"/>
  <c r="G42" i="8"/>
  <c r="G9" i="8"/>
  <c r="H42" i="8" l="1"/>
  <c r="G43" i="8"/>
  <c r="C35" i="4"/>
  <c r="H9" i="8"/>
  <c r="G11" i="8"/>
  <c r="F7" i="2"/>
  <c r="E6" i="2"/>
  <c r="D93" i="2"/>
  <c r="F94" i="2"/>
  <c r="E93" i="2"/>
  <c r="E106" i="2" s="1"/>
  <c r="D108" i="2" l="1"/>
  <c r="F8" i="3" s="1"/>
  <c r="C5" i="4" s="1"/>
  <c r="F117" i="2"/>
  <c r="F93" i="2"/>
  <c r="F6" i="2"/>
  <c r="E121" i="2"/>
  <c r="E123" i="2" s="1"/>
  <c r="F106" i="2" l="1"/>
  <c r="F121" i="2"/>
  <c r="E108" i="2"/>
  <c r="G8" i="3" s="1"/>
  <c r="G10" i="3" s="1"/>
  <c r="F123" i="2" l="1"/>
  <c r="F108" i="2"/>
  <c r="H8" i="3"/>
  <c r="C6" i="4"/>
  <c r="L16" i="14"/>
  <c r="L29" i="14" s="1"/>
  <c r="B14" i="14"/>
  <c r="B16" i="14"/>
  <c r="B29" i="14" s="1"/>
  <c r="O14" i="14"/>
  <c r="D14" i="14"/>
  <c r="E14" i="14" s="1"/>
  <c r="M39" i="14"/>
  <c r="N39" i="14" s="1"/>
  <c r="N13" i="14"/>
  <c r="D13" i="14" s="1"/>
  <c r="M38" i="14" l="1"/>
  <c r="M41" i="14" s="1"/>
  <c r="M53" i="14" s="1"/>
  <c r="N16" i="14"/>
  <c r="O16" i="14" s="1"/>
  <c r="E13" i="14"/>
  <c r="D16" i="14"/>
  <c r="C38" i="14"/>
  <c r="C39" i="14"/>
  <c r="D39" i="14" s="1"/>
  <c r="O13" i="14"/>
  <c r="N38" i="14" l="1"/>
  <c r="N41" i="14"/>
  <c r="N29" i="14"/>
  <c r="D38" i="14"/>
  <c r="D29" i="14"/>
  <c r="C53" i="14" l="1"/>
  <c r="D41" i="1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Foret Oldřich</author>
  </authors>
  <commentList>
    <comment ref="A42" authorId="0" shapeId="0" xr:uid="{00000000-0006-0000-0200-000001000000}">
      <text>
        <r>
          <rPr>
            <b/>
            <sz val="9"/>
            <color indexed="81"/>
            <rFont val="Tahoma"/>
            <family val="2"/>
            <charset val="238"/>
          </rPr>
          <t>5331 a 5336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43" authorId="0" shapeId="0" xr:uid="{00000000-0006-0000-0200-000002000000}">
      <text>
        <r>
          <rPr>
            <b/>
            <sz val="9"/>
            <color indexed="81"/>
            <rFont val="Tahoma"/>
            <family val="2"/>
            <charset val="238"/>
          </rPr>
          <t>6351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45" authorId="0" shapeId="0" xr:uid="{00000000-0006-0000-0200-000003000000}">
      <text>
        <r>
          <rPr>
            <b/>
            <sz val="9"/>
            <color indexed="81"/>
            <rFont val="Tahoma"/>
            <family val="2"/>
            <charset val="238"/>
          </rPr>
          <t>52xx, UZ 33xxx
5333
5339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Foret Oldřich</author>
  </authors>
  <commentList>
    <comment ref="A9" authorId="0" shapeId="0" xr:uid="{00000000-0006-0000-0300-000001000000}">
      <text>
        <r>
          <rPr>
            <b/>
            <sz val="9"/>
            <color indexed="81"/>
            <rFont val="Tahoma"/>
            <family val="2"/>
            <charset val="238"/>
          </rPr>
          <t>8113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10" authorId="0" shapeId="0" xr:uid="{00000000-0006-0000-0300-000002000000}">
      <text>
        <r>
          <rPr>
            <b/>
            <sz val="9"/>
            <color indexed="81"/>
            <rFont val="Tahoma"/>
            <family val="2"/>
            <charset val="238"/>
          </rPr>
          <t>8115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11" authorId="0" shapeId="0" xr:uid="{00000000-0006-0000-0300-000003000000}">
      <text>
        <r>
          <rPr>
            <b/>
            <sz val="9"/>
            <color indexed="81"/>
            <rFont val="Tahoma"/>
            <family val="2"/>
            <charset val="238"/>
          </rPr>
          <t>8117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13" authorId="0" shapeId="0" xr:uid="{00000000-0006-0000-0300-000004000000}">
      <text>
        <r>
          <rPr>
            <b/>
            <sz val="9"/>
            <color indexed="81"/>
            <rFont val="Tahoma"/>
            <family val="2"/>
            <charset val="238"/>
          </rPr>
          <t>8123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14" authorId="0" shapeId="0" xr:uid="{00000000-0006-0000-0300-000005000000}">
      <text>
        <r>
          <rPr>
            <b/>
            <sz val="9"/>
            <color indexed="81"/>
            <rFont val="Tahoma"/>
            <family val="2"/>
            <charset val="238"/>
          </rPr>
          <t>8124, 8224 - Finka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C14" authorId="0" shapeId="0" xr:uid="{00000000-0006-0000-0300-000006000000}">
      <text>
        <r>
          <rPr>
            <b/>
            <sz val="9"/>
            <color indexed="81"/>
            <rFont val="Tahoma"/>
            <family val="2"/>
            <charset val="238"/>
          </rPr>
          <t>pol.8124,8224,8114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D14" authorId="0" shapeId="0" xr:uid="{00000000-0006-0000-0300-000007000000}">
      <text>
        <r>
          <rPr>
            <b/>
            <sz val="9"/>
            <color indexed="81"/>
            <rFont val="Tahoma"/>
            <family val="2"/>
            <charset val="238"/>
          </rPr>
          <t>pol.8124,8224,8114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Balabuch Petr</author>
    <author>Ing. Alice Hradilová</author>
    <author>Hradilová Alice</author>
  </authors>
  <commentList>
    <comment ref="C17" authorId="0" shapeId="0" xr:uid="{00000000-0006-0000-0500-000001000000}">
      <text>
        <r>
          <rPr>
            <b/>
            <sz val="9"/>
            <color indexed="81"/>
            <rFont val="Tahoma"/>
            <family val="2"/>
            <charset val="238"/>
          </rPr>
          <t>Balabuch Petr:</t>
        </r>
        <r>
          <rPr>
            <sz val="9"/>
            <color indexed="81"/>
            <rFont val="Tahoma"/>
            <family val="2"/>
            <charset val="238"/>
          </rPr>
          <t xml:space="preserve">
8124,8224 - Finka</t>
        </r>
      </text>
    </comment>
    <comment ref="G17" authorId="1" shapeId="0" xr:uid="{00000000-0006-0000-0500-000002000000}">
      <text>
        <r>
          <rPr>
            <sz val="8"/>
            <color indexed="81"/>
            <rFont val="Tahoma"/>
            <family val="2"/>
            <charset val="238"/>
          </rPr>
          <t xml:space="preserve">pol.8124,8224
</t>
        </r>
      </text>
    </comment>
    <comment ref="G48" authorId="1" shapeId="0" xr:uid="{00000000-0006-0000-0500-000003000000}">
      <text>
        <r>
          <rPr>
            <sz val="8"/>
            <color indexed="81"/>
            <rFont val="Tahoma"/>
            <family val="2"/>
            <charset val="238"/>
          </rPr>
          <t xml:space="preserve">dle sestavy bil.st.dot.-SFDI
</t>
        </r>
      </text>
    </comment>
    <comment ref="C50" authorId="2" shapeId="0" xr:uid="{00000000-0006-0000-0500-000004000000}">
      <text>
        <r>
          <rPr>
            <sz val="8"/>
            <color indexed="81"/>
            <rFont val="Tahoma"/>
            <family val="2"/>
            <charset val="238"/>
          </rPr>
          <t xml:space="preserve"> V 775031-
 P 636754=138277 (41142 zúst.KB na 8115 a 97035 zůst.EIB na 8115 + 100 podíl IF)</t>
        </r>
      </text>
    </comment>
    <comment ref="G50" authorId="1" shapeId="0" xr:uid="{00000000-0006-0000-0500-000005000000}">
      <text>
        <r>
          <rPr>
            <sz val="8"/>
            <color indexed="81"/>
            <rFont val="Tahoma"/>
            <family val="2"/>
            <charset val="238"/>
          </rPr>
          <t xml:space="preserve">EIB-úroky+KB+SFDI
</t>
        </r>
      </text>
    </comment>
    <comment ref="G51" authorId="1" shapeId="0" xr:uid="{00000000-0006-0000-0500-000006000000}">
      <text>
        <r>
          <rPr>
            <sz val="8"/>
            <color indexed="81"/>
            <rFont val="Tahoma"/>
            <family val="2"/>
            <charset val="238"/>
          </rPr>
          <t xml:space="preserve">spl.8124, 8224 + úroky pol.5141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Ing. Alice Hradilová</author>
  </authors>
  <commentList>
    <comment ref="J7" authorId="0" shapeId="0" xr:uid="{00000000-0006-0000-0800-000001000000}">
      <text>
        <r>
          <rPr>
            <sz val="8"/>
            <color indexed="81"/>
            <rFont val="Tahoma"/>
            <family val="2"/>
            <charset val="238"/>
          </rPr>
          <t xml:space="preserve">včetně SFDI
</t>
        </r>
      </text>
    </comment>
  </commentList>
</comments>
</file>

<file path=xl/sharedStrings.xml><?xml version="1.0" encoding="utf-8"?>
<sst xmlns="http://schemas.openxmlformats.org/spreadsheetml/2006/main" count="368" uniqueCount="161">
  <si>
    <t>v tis. Kč</t>
  </si>
  <si>
    <t>Příjmy</t>
  </si>
  <si>
    <t>schválený rozp.</t>
  </si>
  <si>
    <t>upravený rozp.</t>
  </si>
  <si>
    <t>skutečnost</t>
  </si>
  <si>
    <t>%</t>
  </si>
  <si>
    <t>5=4/3</t>
  </si>
  <si>
    <t xml:space="preserve">Příjmy Olomouckého kraje                                (po konsolidaci)                </t>
  </si>
  <si>
    <t>Příjmy celkem</t>
  </si>
  <si>
    <t>Odbor (kancelář)</t>
  </si>
  <si>
    <t>ORJ</t>
  </si>
  <si>
    <t>schválený rozpočet</t>
  </si>
  <si>
    <t>upravený rozpočet</t>
  </si>
  <si>
    <t>Zastupitelé</t>
  </si>
  <si>
    <t xml:space="preserve"> - provozní výdaje</t>
  </si>
  <si>
    <t xml:space="preserve"> - investiční výdaje</t>
  </si>
  <si>
    <t xml:space="preserve"> - účelové neinvestiční dotace</t>
  </si>
  <si>
    <t xml:space="preserve"> - účelové investiční dotace</t>
  </si>
  <si>
    <t>Kancelář ředitele</t>
  </si>
  <si>
    <t>Odbor ekonomický</t>
  </si>
  <si>
    <t>Odbor životního prostředí a zemědělství</t>
  </si>
  <si>
    <t>odbor</t>
  </si>
  <si>
    <t>příspěvkové organizace</t>
  </si>
  <si>
    <t>Odbor sociálních věcí</t>
  </si>
  <si>
    <t>Odbor dopravy a silničního hospodářství</t>
  </si>
  <si>
    <t>Odbor zdravotnictví</t>
  </si>
  <si>
    <t>Útvar interního auditu</t>
  </si>
  <si>
    <t>Evropské programy</t>
  </si>
  <si>
    <t>Fond sociálních potřeb</t>
  </si>
  <si>
    <t xml:space="preserve">Výdaje Olomouckého kraje celkem </t>
  </si>
  <si>
    <t>Výdaje Olomouckého kraje celkem                       (po konsolidaci)</t>
  </si>
  <si>
    <t>a) Příjmy vlastní a výdaje vlastní Olomouckého kraje celkem</t>
  </si>
  <si>
    <t>Příjmy Olomouckého kraje vlastní celkem (po konsolidaci)</t>
  </si>
  <si>
    <t>Výdaje Olomouckého kraje vlastní celkem (po konsolidaci)</t>
  </si>
  <si>
    <t xml:space="preserve">Saldo vlastních příjmů a vlastních výdajů Olomouckého kraje (po konsolidaci) celkem </t>
  </si>
  <si>
    <t>příjmy vlastní</t>
  </si>
  <si>
    <t>výdaje vlastní</t>
  </si>
  <si>
    <t xml:space="preserve">b)Příjmy a výdaje Olomouckého kraje celkem </t>
  </si>
  <si>
    <t>Příjmy Olomouckého kraje po konsolidaci celkem</t>
  </si>
  <si>
    <t>Výdaje Olomouckého kraje po konsolidaci celkem</t>
  </si>
  <si>
    <t>Saldo příjmů a výdajů Olomouckého kraje  po konsolidaci celkem</t>
  </si>
  <si>
    <t>příjmy Ol.kraje celkem</t>
  </si>
  <si>
    <t>výdaje Ol.kraje celkem</t>
  </si>
  <si>
    <t xml:space="preserve"> - konsolidace</t>
  </si>
  <si>
    <t xml:space="preserve">Fond - odběr podzemní vody   </t>
  </si>
  <si>
    <t>RZ</t>
  </si>
  <si>
    <t>ÚZ</t>
  </si>
  <si>
    <t>ORG</t>
  </si>
  <si>
    <t>4/12</t>
  </si>
  <si>
    <t>5/12</t>
  </si>
  <si>
    <t>6/12</t>
  </si>
  <si>
    <t>8/12</t>
  </si>
  <si>
    <t>10/12</t>
  </si>
  <si>
    <t>11/12</t>
  </si>
  <si>
    <t>13/12</t>
  </si>
  <si>
    <t>14/12</t>
  </si>
  <si>
    <t>KB 887</t>
  </si>
  <si>
    <t>EIB 813</t>
  </si>
  <si>
    <t>PH</t>
  </si>
  <si>
    <t>1/12</t>
  </si>
  <si>
    <t>SR</t>
  </si>
  <si>
    <t>18/12</t>
  </si>
  <si>
    <t>19/12</t>
  </si>
  <si>
    <t>20/12</t>
  </si>
  <si>
    <t>22/12</t>
  </si>
  <si>
    <t>44/12</t>
  </si>
  <si>
    <t>47/12</t>
  </si>
  <si>
    <t>48/12</t>
  </si>
  <si>
    <t>77/12</t>
  </si>
  <si>
    <t>91/12</t>
  </si>
  <si>
    <t>92/12</t>
  </si>
  <si>
    <t>leden-únor</t>
  </si>
  <si>
    <t>březen</t>
  </si>
  <si>
    <t>v tis.Kč</t>
  </si>
  <si>
    <t>2. Plnění rozpočtu výdajů Olomouckého kraje k 30.09. 2012</t>
  </si>
  <si>
    <t>květen</t>
  </si>
  <si>
    <t>červenec</t>
  </si>
  <si>
    <t>srpen</t>
  </si>
  <si>
    <t>224/12</t>
  </si>
  <si>
    <t>355/12</t>
  </si>
  <si>
    <t>356/12</t>
  </si>
  <si>
    <t>418/12</t>
  </si>
  <si>
    <t>Rekapitulace příjmů a výdajů k 31. 3. 2013:</t>
  </si>
  <si>
    <r>
      <t>(daňové,nedaňové,kapitálové,souhrnný fin.vztah</t>
    </r>
    <r>
      <rPr>
        <sz val="10"/>
        <color theme="0"/>
        <rFont val="Arial CE"/>
        <charset val="238"/>
      </rPr>
      <t>, přijaté úvěry</t>
    </r>
    <r>
      <rPr>
        <sz val="10"/>
        <rFont val="Arial CE"/>
        <family val="2"/>
        <charset val="238"/>
      </rPr>
      <t>)</t>
    </r>
  </si>
  <si>
    <r>
      <t>(hrazené z vlastních příjmů,</t>
    </r>
    <r>
      <rPr>
        <sz val="10"/>
        <color theme="0"/>
        <rFont val="Arial CE"/>
        <charset val="238"/>
      </rPr>
      <t xml:space="preserve"> z úvěrů,</t>
    </r>
    <r>
      <rPr>
        <sz val="10"/>
        <rFont val="Arial CE"/>
        <charset val="238"/>
      </rPr>
      <t xml:space="preserve"> splátky úvěrů, úroky)</t>
    </r>
  </si>
  <si>
    <t>Odbor kancelář ředitele</t>
  </si>
  <si>
    <t>Odbor majetkový, právní a správních činností</t>
  </si>
  <si>
    <t>Odbor strategického rozvoje kraje</t>
  </si>
  <si>
    <t>Financování</t>
  </si>
  <si>
    <t>Financování celkem</t>
  </si>
  <si>
    <t>Odbor kontroly</t>
  </si>
  <si>
    <t>Výdaje</t>
  </si>
  <si>
    <t xml:space="preserve">Saldo příjmů a výdajů Olomouckého kraje po konsolidaci celkem </t>
  </si>
  <si>
    <t>Rekapitulace dle druhu výdajů</t>
  </si>
  <si>
    <t>Přehled celkových příjmů Olomouckého kraje, které zahrnují  příjmy běžné (daňové, nedaňové, kapitálové)                     a přijaté účelové dotace ze státního rozpočtu.</t>
  </si>
  <si>
    <t>5 = 4/3</t>
  </si>
  <si>
    <t>6 = 5/4</t>
  </si>
  <si>
    <t>Přehled financování Olomouckého kraje, které zahrnuje zapojení především úvěrů, zapojení přebytku hospodaření a splátky úvěrů.</t>
  </si>
  <si>
    <t>Odbor školství a mládeže</t>
  </si>
  <si>
    <t>Odbor investic</t>
  </si>
  <si>
    <t>Odbor kancelář hejtmana</t>
  </si>
  <si>
    <r>
      <t>1 -</t>
    </r>
    <r>
      <rPr>
        <sz val="11"/>
        <rFont val="Arial CE"/>
        <charset val="238"/>
      </rPr>
      <t xml:space="preserve"> Daňové příjmy</t>
    </r>
  </si>
  <si>
    <r>
      <t>2 -</t>
    </r>
    <r>
      <rPr>
        <sz val="11"/>
        <rFont val="Arial CE"/>
        <charset val="238"/>
      </rPr>
      <t xml:space="preserve"> Nedaňové příjmy</t>
    </r>
  </si>
  <si>
    <t>3 - Kapitálové příjmy</t>
  </si>
  <si>
    <r>
      <t>4 -</t>
    </r>
    <r>
      <rPr>
        <sz val="11"/>
        <rFont val="Arial CE"/>
        <charset val="238"/>
      </rPr>
      <t xml:space="preserve"> Přijaté transfery</t>
    </r>
  </si>
  <si>
    <t>4 - Konsolidace *</t>
  </si>
  <si>
    <t>6 - kapitálové výdaje</t>
  </si>
  <si>
    <t>5 - konsolidace</t>
  </si>
  <si>
    <t>5 - běžné výdaje</t>
  </si>
  <si>
    <t>5 - běžné výdaje, 6 - kapitálové výdaje (dotační programy/tituly)</t>
  </si>
  <si>
    <t>Odbor sportu, kultury a památkové péče</t>
  </si>
  <si>
    <t>5 - Konsolidace *</t>
  </si>
  <si>
    <t>5 - Běžné výdaje</t>
  </si>
  <si>
    <t>6 - Kapitálové výdaje</t>
  </si>
  <si>
    <t>8 - Krátkodobé přijaté půjčené prostředky</t>
  </si>
  <si>
    <t>8 - Změna stavu krátkodobých prostředků na bank. účtech</t>
  </si>
  <si>
    <t>8 - Splátky úvěrů</t>
  </si>
  <si>
    <t>soukromé a obecní školy</t>
  </si>
  <si>
    <t>Odbor informačních technologií</t>
  </si>
  <si>
    <t>8 - Aktivní krátkodobé operace řízení likvidity - příjmy</t>
  </si>
  <si>
    <t>8 - Dlouhodobé přijaté půjčené prostředky</t>
  </si>
  <si>
    <t>8 - Aktivní krátkodobé operace řízení likvidity - výdaje</t>
  </si>
  <si>
    <t>Výdaje Olomouckého kraje celkem</t>
  </si>
  <si>
    <t>Výdaje Olomouckého kraje celkem (po konsolidaci)</t>
  </si>
  <si>
    <t>* Konsolidace je očištění údajů rozpočtu a skutečnosti o interní přesuny peněžních prostředků uvnitř organizace mezi jednotlivými účty.</t>
  </si>
  <si>
    <t>30-79</t>
  </si>
  <si>
    <t>z toho: daňové příjmy</t>
  </si>
  <si>
    <t xml:space="preserve">            správní poplatky</t>
  </si>
  <si>
    <t xml:space="preserve">            příspěvkové organizace</t>
  </si>
  <si>
    <t>8 - Operace z peněžních účtů organizace nemající charakter příjmů a výdajů vládního sektoru</t>
  </si>
  <si>
    <t>OLOMOUCKÝ KRAJ CELKEM</t>
  </si>
  <si>
    <t>Z TOHO VLASTNÍ ROZPOČET</t>
  </si>
  <si>
    <t>Z TOHO FONDY A ÚČELOVÉ DOTACE</t>
  </si>
  <si>
    <t>index %</t>
  </si>
  <si>
    <t>Výdaje celkem</t>
  </si>
  <si>
    <t>Výdaje  celkem</t>
  </si>
  <si>
    <t>9 = 8/7</t>
  </si>
  <si>
    <t>z toho: dotační programy/tituly                 .</t>
  </si>
  <si>
    <t xml:space="preserve">            KIDSOK - dopravní obslužnost</t>
  </si>
  <si>
    <t>13 = 12/11</t>
  </si>
  <si>
    <t>z toho: neinvestiční</t>
  </si>
  <si>
    <t xml:space="preserve">            investiční</t>
  </si>
  <si>
    <t>FINANCOVÁNÍ</t>
  </si>
  <si>
    <t xml:space="preserve">            poplatky za znečišťování ovzduší</t>
  </si>
  <si>
    <t xml:space="preserve">            poplatek za odebrané množství podzemní vody</t>
  </si>
  <si>
    <t xml:space="preserve">            platy a ostatní výdaje</t>
  </si>
  <si>
    <t>1 - Daňové příjmy</t>
  </si>
  <si>
    <t>2 - Nedaňové příjmy</t>
  </si>
  <si>
    <t>4 - Přijaté transfery</t>
  </si>
  <si>
    <t xml:space="preserve">           běžné výdaje a ostatní dopočet</t>
  </si>
  <si>
    <t>Personální útvar</t>
  </si>
  <si>
    <t>Nouzové ubytování</t>
  </si>
  <si>
    <t>skutečnost 03/2024</t>
  </si>
  <si>
    <t>1. Plnění rozpočtu příjmů Olomouckého kraje k 31. 3. 2025</t>
  </si>
  <si>
    <t>2. Plnění rozpočtu výdajů Olomouckého kraje k 31. 3. 2025</t>
  </si>
  <si>
    <t>3. Financování Olomouckého kraje k 31. 3. 2025</t>
  </si>
  <si>
    <t>Odbor Krajský stavební úřad</t>
  </si>
  <si>
    <t>Rekapitulace k 31. 3. 2025:</t>
  </si>
  <si>
    <t>Bilance Olomouckého kraje k 31. 3. 2025 (bez konsolidace)</t>
  </si>
  <si>
    <t>Meziroční srovnání rozpočtu Olomouckého kraje k 31. 3. 2025 a 31.3.2024</t>
  </si>
  <si>
    <t>skutečnost 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</si>
</sst>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#,##0"/>
    <numFmt numFmtId="166" formatCode="#,##0_ ;[Red]\-#,##0\ "/>
  </numFmts>
  <fonts count="64" x14ac:knownFonts="1">
    <font>
      <sz val="10"/>
      <name val="Arial CE"/>
      <charset val="238"/>
    </font>
    <font>
      <b/>
      <sz val="10"/>
      <name val="Arial CE"/>
      <charset val="238"/>
    </font>
    <font>
      <i/>
      <sz val="10"/>
      <name val="Arial CE"/>
      <charset val="238"/>
    </font>
    <font>
      <b/>
      <i/>
      <sz val="10"/>
      <name val="Arial CE"/>
      <charset val="238"/>
    </font>
    <font>
      <sz val="10"/>
      <name val="Arial CE"/>
      <charset val="238"/>
    </font>
    <font>
      <sz val="8"/>
      <name val="Arial CE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b/>
      <sz val="12"/>
      <name val="Arial CE"/>
      <charset val="238"/>
    </font>
    <font>
      <sz val="11"/>
      <name val="Arial CE"/>
      <charset val="238"/>
    </font>
    <font>
      <sz val="11"/>
      <name val="Arial"/>
      <family val="2"/>
      <charset val="238"/>
    </font>
    <font>
      <sz val="12"/>
      <name val="Arial CE"/>
      <family val="2"/>
      <charset val="238"/>
    </font>
    <font>
      <sz val="11"/>
      <name val="Arial CE"/>
      <family val="2"/>
      <charset val="238"/>
    </font>
    <font>
      <b/>
      <sz val="11"/>
      <name val="Arial CE"/>
      <charset val="238"/>
    </font>
    <font>
      <sz val="10"/>
      <color indexed="9"/>
      <name val="Arial CE"/>
      <charset val="238"/>
    </font>
    <font>
      <sz val="11"/>
      <color indexed="10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8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sz val="10"/>
      <color indexed="9"/>
      <name val="Arial"/>
      <family val="2"/>
      <charset val="238"/>
    </font>
    <font>
      <sz val="10"/>
      <color indexed="10"/>
      <name val="Arial"/>
      <family val="2"/>
      <charset val="238"/>
    </font>
    <font>
      <i/>
      <sz val="11"/>
      <name val="Arial"/>
      <family val="2"/>
      <charset val="238"/>
    </font>
    <font>
      <i/>
      <sz val="11"/>
      <name val="Arial CE"/>
      <charset val="238"/>
    </font>
    <font>
      <b/>
      <sz val="10"/>
      <color indexed="49"/>
      <name val="Arial"/>
      <family val="2"/>
      <charset val="238"/>
    </font>
    <font>
      <b/>
      <sz val="10"/>
      <color indexed="14"/>
      <name val="Arial"/>
      <family val="2"/>
      <charset val="238"/>
    </font>
    <font>
      <b/>
      <sz val="10"/>
      <color indexed="41"/>
      <name val="Arial"/>
      <family val="2"/>
      <charset val="238"/>
    </font>
    <font>
      <b/>
      <sz val="13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1"/>
      <color indexed="10"/>
      <name val="Arial"/>
      <family val="2"/>
      <charset val="238"/>
    </font>
    <font>
      <sz val="11"/>
      <color indexed="50"/>
      <name val="Arial"/>
      <family val="2"/>
      <charset val="238"/>
    </font>
    <font>
      <b/>
      <sz val="14"/>
      <name val="Arial CE"/>
      <charset val="238"/>
    </font>
    <font>
      <sz val="14"/>
      <name val="Arial CE"/>
      <charset val="238"/>
    </font>
    <font>
      <sz val="8"/>
      <color indexed="81"/>
      <name val="Tahoma"/>
      <family val="2"/>
      <charset val="238"/>
    </font>
    <font>
      <sz val="11"/>
      <color indexed="11"/>
      <name val="Arial"/>
      <family val="2"/>
      <charset val="238"/>
    </font>
    <font>
      <sz val="10"/>
      <color indexed="11"/>
      <name val="Arial"/>
      <family val="2"/>
      <charset val="238"/>
    </font>
    <font>
      <sz val="10"/>
      <color indexed="11"/>
      <name val="Arial"/>
      <family val="2"/>
      <charset val="238"/>
    </font>
    <font>
      <sz val="11"/>
      <color indexed="11"/>
      <name val="Arial"/>
      <family val="2"/>
      <charset val="238"/>
    </font>
    <font>
      <sz val="11"/>
      <color indexed="10"/>
      <name val="Arial"/>
      <family val="2"/>
      <charset val="238"/>
    </font>
    <font>
      <b/>
      <sz val="16"/>
      <name val="Arial CE"/>
      <charset val="238"/>
    </font>
    <font>
      <sz val="10"/>
      <name val="Arial CE"/>
      <family val="2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sz val="12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rgb="FFFF0000"/>
      <name val="Arial CE"/>
      <charset val="238"/>
    </font>
    <font>
      <b/>
      <sz val="8"/>
      <name val="Arial CE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2"/>
      <name val="Arial Black"/>
      <family val="2"/>
      <charset val="238"/>
    </font>
    <font>
      <sz val="10"/>
      <color rgb="FFFF0000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0"/>
      <color theme="0"/>
      <name val="Arial CE"/>
      <charset val="238"/>
    </font>
    <font>
      <b/>
      <sz val="11"/>
      <color rgb="FFFF0000"/>
      <name val="Arial"/>
      <family val="2"/>
      <charset val="238"/>
    </font>
    <font>
      <b/>
      <sz val="13"/>
      <color rgb="FFFF0000"/>
      <name val="Arial CE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9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3" fontId="0" fillId="0" borderId="0"/>
    <xf numFmtId="0" fontId="16" fillId="0" borderId="0"/>
    <xf numFmtId="0" fontId="16" fillId="0" borderId="0"/>
    <xf numFmtId="9" fontId="4" fillId="0" borderId="0" applyFont="0" applyFill="0" applyBorder="0" applyAlignment="0" applyProtection="0"/>
  </cellStyleXfs>
  <cellXfs count="559">
    <xf numFmtId="3" fontId="0" fillId="0" borderId="0" xfId="0"/>
    <xf numFmtId="3" fontId="0" fillId="0" borderId="0" xfId="0" applyFill="1"/>
    <xf numFmtId="3" fontId="0" fillId="0" borderId="0" xfId="0" applyFill="1" applyAlignment="1">
      <alignment horizontal="right"/>
    </xf>
    <xf numFmtId="3" fontId="5" fillId="0" borderId="1" xfId="0" applyFont="1" applyFill="1" applyBorder="1" applyAlignment="1">
      <alignment horizontal="center" vertical="center"/>
    </xf>
    <xf numFmtId="3" fontId="5" fillId="0" borderId="0" xfId="0" applyFont="1" applyFill="1" applyAlignment="1">
      <alignment horizontal="center"/>
    </xf>
    <xf numFmtId="3" fontId="5" fillId="0" borderId="4" xfId="0" applyFont="1" applyFill="1" applyBorder="1" applyAlignment="1">
      <alignment horizontal="center" vertical="center"/>
    </xf>
    <xf numFmtId="3" fontId="11" fillId="0" borderId="0" xfId="0" applyFont="1" applyFill="1"/>
    <xf numFmtId="1" fontId="12" fillId="0" borderId="7" xfId="0" applyNumberFormat="1" applyFont="1" applyFill="1" applyBorder="1" applyAlignment="1">
      <alignment horizontal="left"/>
    </xf>
    <xf numFmtId="1" fontId="8" fillId="0" borderId="10" xfId="0" applyNumberFormat="1" applyFont="1" applyFill="1" applyBorder="1" applyAlignment="1">
      <alignment horizontal="left" wrapText="1"/>
    </xf>
    <xf numFmtId="3" fontId="14" fillId="0" borderId="0" xfId="0" applyFont="1" applyFill="1"/>
    <xf numFmtId="3" fontId="5" fillId="0" borderId="0" xfId="0" applyFont="1" applyFill="1"/>
    <xf numFmtId="3" fontId="15" fillId="0" borderId="0" xfId="0" applyNumberFormat="1" applyFont="1" applyFill="1" applyBorder="1"/>
    <xf numFmtId="3" fontId="13" fillId="0" borderId="8" xfId="0" applyFont="1" applyFill="1" applyBorder="1"/>
    <xf numFmtId="3" fontId="0" fillId="0" borderId="0" xfId="0" applyFill="1" applyBorder="1"/>
    <xf numFmtId="0" fontId="16" fillId="0" borderId="0" xfId="1" applyFill="1" applyAlignment="1">
      <alignment horizontal="left"/>
    </xf>
    <xf numFmtId="4" fontId="19" fillId="0" borderId="0" xfId="1" applyNumberFormat="1" applyFont="1" applyFill="1"/>
    <xf numFmtId="4" fontId="16" fillId="0" borderId="0" xfId="1" applyNumberFormat="1" applyFill="1"/>
    <xf numFmtId="0" fontId="16" fillId="0" borderId="0" xfId="1" applyFill="1"/>
    <xf numFmtId="0" fontId="16" fillId="0" borderId="0" xfId="1" applyFill="1" applyAlignment="1">
      <alignment horizontal="center"/>
    </xf>
    <xf numFmtId="0" fontId="20" fillId="0" borderId="0" xfId="1" applyFont="1" applyFill="1"/>
    <xf numFmtId="3" fontId="10" fillId="0" borderId="0" xfId="1" applyNumberFormat="1" applyFont="1" applyFill="1"/>
    <xf numFmtId="4" fontId="10" fillId="0" borderId="0" xfId="1" applyNumberFormat="1" applyFont="1" applyFill="1"/>
    <xf numFmtId="0" fontId="10" fillId="0" borderId="0" xfId="1" applyFont="1" applyFill="1"/>
    <xf numFmtId="3" fontId="16" fillId="0" borderId="0" xfId="1" applyNumberFormat="1" applyFont="1" applyFill="1"/>
    <xf numFmtId="3" fontId="16" fillId="0" borderId="0" xfId="1" applyNumberFormat="1" applyFont="1" applyFill="1" applyBorder="1" applyAlignment="1">
      <alignment horizontal="center" vertical="center"/>
    </xf>
    <xf numFmtId="0" fontId="16" fillId="0" borderId="0" xfId="1" applyFont="1" applyFill="1" applyAlignment="1">
      <alignment vertical="center"/>
    </xf>
    <xf numFmtId="4" fontId="16" fillId="0" borderId="0" xfId="1" applyNumberFormat="1" applyFont="1" applyFill="1" applyAlignment="1">
      <alignment vertical="center"/>
    </xf>
    <xf numFmtId="164" fontId="20" fillId="0" borderId="0" xfId="1" applyNumberFormat="1" applyFont="1" applyFill="1" applyBorder="1"/>
    <xf numFmtId="0" fontId="16" fillId="0" borderId="5" xfId="1" applyFont="1" applyFill="1" applyBorder="1"/>
    <xf numFmtId="165" fontId="19" fillId="0" borderId="6" xfId="1" applyNumberFormat="1" applyFont="1" applyFill="1" applyBorder="1" applyAlignment="1">
      <alignment horizontal="center"/>
    </xf>
    <xf numFmtId="3" fontId="7" fillId="0" borderId="6" xfId="1" applyNumberFormat="1" applyFont="1" applyFill="1" applyBorder="1"/>
    <xf numFmtId="164" fontId="7" fillId="0" borderId="0" xfId="1" applyNumberFormat="1" applyFont="1" applyFill="1" applyBorder="1"/>
    <xf numFmtId="0" fontId="16" fillId="0" borderId="0" xfId="1" applyFont="1" applyFill="1"/>
    <xf numFmtId="4" fontId="16" fillId="0" borderId="0" xfId="1" applyNumberFormat="1" applyFont="1" applyFill="1"/>
    <xf numFmtId="0" fontId="4" fillId="0" borderId="7" xfId="1" applyFont="1" applyFill="1" applyBorder="1"/>
    <xf numFmtId="0" fontId="21" fillId="0" borderId="0" xfId="1" applyFont="1" applyFill="1"/>
    <xf numFmtId="4" fontId="21" fillId="0" borderId="0" xfId="1" applyNumberFormat="1" applyFont="1" applyFill="1"/>
    <xf numFmtId="165" fontId="21" fillId="0" borderId="6" xfId="1" applyNumberFormat="1" applyFont="1" applyFill="1" applyBorder="1" applyAlignment="1">
      <alignment horizontal="center"/>
    </xf>
    <xf numFmtId="0" fontId="4" fillId="0" borderId="8" xfId="1" applyFont="1" applyFill="1" applyBorder="1"/>
    <xf numFmtId="0" fontId="4" fillId="0" borderId="0" xfId="1" applyFont="1" applyFill="1" applyBorder="1"/>
    <xf numFmtId="165" fontId="16" fillId="0" borderId="0" xfId="1" applyNumberFormat="1" applyFont="1" applyFill="1" applyBorder="1" applyAlignment="1">
      <alignment horizontal="center"/>
    </xf>
    <xf numFmtId="3" fontId="19" fillId="0" borderId="0" xfId="1" applyNumberFormat="1" applyFont="1" applyFill="1" applyBorder="1"/>
    <xf numFmtId="164" fontId="16" fillId="0" borderId="0" xfId="1" applyNumberFormat="1" applyFont="1" applyFill="1" applyBorder="1"/>
    <xf numFmtId="3" fontId="21" fillId="0" borderId="0" xfId="1" applyNumberFormat="1" applyFont="1" applyFill="1" applyBorder="1"/>
    <xf numFmtId="4" fontId="21" fillId="0" borderId="0" xfId="1" applyNumberFormat="1" applyFont="1" applyFill="1" applyBorder="1"/>
    <xf numFmtId="3" fontId="22" fillId="0" borderId="0" xfId="1" applyNumberFormat="1" applyFont="1" applyFill="1" applyBorder="1"/>
    <xf numFmtId="4" fontId="22" fillId="0" borderId="0" xfId="1" applyNumberFormat="1" applyFont="1" applyFill="1" applyBorder="1"/>
    <xf numFmtId="3" fontId="23" fillId="0" borderId="0" xfId="1" applyNumberFormat="1" applyFont="1" applyFill="1" applyBorder="1"/>
    <xf numFmtId="0" fontId="24" fillId="0" borderId="0" xfId="1" applyFont="1" applyFill="1"/>
    <xf numFmtId="0" fontId="19" fillId="0" borderId="5" xfId="1" applyFont="1" applyFill="1" applyBorder="1"/>
    <xf numFmtId="0" fontId="4" fillId="0" borderId="5" xfId="1" applyFont="1" applyFill="1" applyBorder="1"/>
    <xf numFmtId="0" fontId="26" fillId="0" borderId="5" xfId="1" applyFont="1" applyFill="1" applyBorder="1"/>
    <xf numFmtId="4" fontId="19" fillId="2" borderId="0" xfId="1" applyNumberFormat="1" applyFont="1" applyFill="1"/>
    <xf numFmtId="0" fontId="16" fillId="0" borderId="0" xfId="1" applyFont="1" applyFill="1" applyBorder="1"/>
    <xf numFmtId="4" fontId="16" fillId="0" borderId="0" xfId="1" applyNumberFormat="1" applyFont="1" applyFill="1" applyBorder="1"/>
    <xf numFmtId="4" fontId="7" fillId="0" borderId="0" xfId="1" applyNumberFormat="1" applyFont="1" applyFill="1" applyBorder="1"/>
    <xf numFmtId="3" fontId="16" fillId="0" borderId="0" xfId="1" applyNumberFormat="1" applyFill="1"/>
    <xf numFmtId="3" fontId="33" fillId="0" borderId="0" xfId="1" applyNumberFormat="1" applyFont="1" applyFill="1"/>
    <xf numFmtId="1" fontId="9" fillId="0" borderId="0" xfId="1" applyNumberFormat="1" applyFont="1" applyFill="1" applyBorder="1" applyAlignment="1">
      <alignment horizontal="left"/>
    </xf>
    <xf numFmtId="0" fontId="37" fillId="0" borderId="0" xfId="1" applyFont="1" applyFill="1" applyBorder="1"/>
    <xf numFmtId="3" fontId="13" fillId="0" borderId="0" xfId="1" applyNumberFormat="1" applyFont="1" applyFill="1" applyBorder="1"/>
    <xf numFmtId="0" fontId="13" fillId="0" borderId="0" xfId="1" applyFont="1" applyFill="1" applyBorder="1" applyAlignment="1">
      <alignment horizontal="left"/>
    </xf>
    <xf numFmtId="4" fontId="13" fillId="0" borderId="0" xfId="1" applyNumberFormat="1" applyFont="1" applyFill="1" applyBorder="1"/>
    <xf numFmtId="0" fontId="38" fillId="0" borderId="0" xfId="1" applyFont="1" applyFill="1" applyBorder="1" applyAlignment="1">
      <alignment horizontal="right"/>
    </xf>
    <xf numFmtId="1" fontId="4" fillId="0" borderId="0" xfId="1" applyNumberFormat="1" applyFont="1" applyFill="1" applyBorder="1" applyAlignment="1">
      <alignment horizontal="justify"/>
    </xf>
    <xf numFmtId="4" fontId="4" fillId="0" borderId="0" xfId="1" applyNumberFormat="1" applyFont="1" applyFill="1" applyBorder="1" applyAlignment="1">
      <alignment horizontal="justify"/>
    </xf>
    <xf numFmtId="4" fontId="16" fillId="0" borderId="0" xfId="1" applyNumberFormat="1" applyFont="1" applyFill="1" applyBorder="1" applyAlignment="1">
      <alignment horizontal="center" vertical="center" wrapText="1"/>
    </xf>
    <xf numFmtId="4" fontId="20" fillId="0" borderId="0" xfId="1" applyNumberFormat="1" applyFont="1" applyFill="1" applyBorder="1"/>
    <xf numFmtId="4" fontId="10" fillId="0" borderId="0" xfId="1" applyNumberFormat="1" applyFont="1" applyFill="1" applyBorder="1"/>
    <xf numFmtId="4" fontId="24" fillId="0" borderId="0" xfId="1" applyNumberFormat="1" applyFont="1" applyFill="1" applyBorder="1"/>
    <xf numFmtId="4" fontId="19" fillId="2" borderId="0" xfId="1" applyNumberFormat="1" applyFont="1" applyFill="1" applyBorder="1"/>
    <xf numFmtId="4" fontId="32" fillId="0" borderId="0" xfId="1" applyNumberFormat="1" applyFont="1" applyFill="1" applyBorder="1"/>
    <xf numFmtId="4" fontId="31" fillId="0" borderId="0" xfId="1" applyNumberFormat="1" applyFont="1" applyFill="1" applyBorder="1" applyAlignment="1">
      <alignment shrinkToFit="1"/>
    </xf>
    <xf numFmtId="4" fontId="19" fillId="2" borderId="0" xfId="1" applyNumberFormat="1" applyFont="1" applyFill="1" applyBorder="1" applyAlignment="1">
      <alignment vertical="center"/>
    </xf>
    <xf numFmtId="4" fontId="20" fillId="2" borderId="0" xfId="1" applyNumberFormat="1" applyFont="1" applyFill="1" applyBorder="1"/>
    <xf numFmtId="4" fontId="31" fillId="2" borderId="0" xfId="1" applyNumberFormat="1" applyFont="1" applyFill="1" applyBorder="1" applyAlignment="1">
      <alignment shrinkToFit="1"/>
    </xf>
    <xf numFmtId="0" fontId="24" fillId="0" borderId="0" xfId="1" applyFont="1" applyFill="1" applyBorder="1"/>
    <xf numFmtId="0" fontId="21" fillId="0" borderId="0" xfId="1" applyFont="1" applyFill="1" applyBorder="1"/>
    <xf numFmtId="0" fontId="16" fillId="0" borderId="0" xfId="1" applyFill="1" applyBorder="1"/>
    <xf numFmtId="4" fontId="16" fillId="0" borderId="0" xfId="1" applyNumberFormat="1" applyFill="1" applyBorder="1"/>
    <xf numFmtId="3" fontId="9" fillId="0" borderId="20" xfId="0" applyFont="1" applyBorder="1" applyAlignment="1">
      <alignment horizontal="right"/>
    </xf>
    <xf numFmtId="3" fontId="31" fillId="0" borderId="11" xfId="1" applyNumberFormat="1" applyFont="1" applyFill="1" applyBorder="1"/>
    <xf numFmtId="3" fontId="31" fillId="0" borderId="26" xfId="1" applyNumberFormat="1" applyFont="1" applyFill="1" applyBorder="1"/>
    <xf numFmtId="3" fontId="20" fillId="0" borderId="27" xfId="1" applyNumberFormat="1" applyFont="1" applyFill="1" applyBorder="1"/>
    <xf numFmtId="3" fontId="41" fillId="0" borderId="0" xfId="1" applyNumberFormat="1" applyFont="1" applyFill="1" applyBorder="1"/>
    <xf numFmtId="3" fontId="7" fillId="0" borderId="0" xfId="1" applyNumberFormat="1" applyFont="1" applyFill="1" applyBorder="1"/>
    <xf numFmtId="3" fontId="42" fillId="0" borderId="0" xfId="1" applyNumberFormat="1" applyFont="1" applyFill="1"/>
    <xf numFmtId="1" fontId="45" fillId="0" borderId="0" xfId="0" applyNumberFormat="1" applyFont="1" applyFill="1" applyAlignment="1">
      <alignment horizontal="left"/>
    </xf>
    <xf numFmtId="3" fontId="4" fillId="0" borderId="0" xfId="0" applyFont="1" applyFill="1"/>
    <xf numFmtId="3" fontId="4" fillId="0" borderId="0" xfId="0" applyFont="1" applyFill="1" applyAlignment="1">
      <alignment horizontal="right"/>
    </xf>
    <xf numFmtId="3" fontId="4" fillId="0" borderId="0" xfId="0" applyFont="1"/>
    <xf numFmtId="1" fontId="8" fillId="0" borderId="0" xfId="0" applyNumberFormat="1" applyFont="1" applyFill="1" applyAlignment="1">
      <alignment horizontal="left"/>
    </xf>
    <xf numFmtId="1" fontId="13" fillId="0" borderId="0" xfId="0" applyNumberFormat="1" applyFont="1" applyFill="1" applyAlignment="1">
      <alignment horizontal="left"/>
    </xf>
    <xf numFmtId="3" fontId="11" fillId="0" borderId="0" xfId="0" applyFont="1"/>
    <xf numFmtId="3" fontId="13" fillId="3" borderId="10" xfId="0" applyFont="1" applyFill="1" applyBorder="1" applyAlignment="1"/>
    <xf numFmtId="3" fontId="3" fillId="3" borderId="19" xfId="0" applyFont="1" applyFill="1" applyBorder="1" applyAlignment="1"/>
    <xf numFmtId="3" fontId="3" fillId="3" borderId="19" xfId="0" applyFont="1" applyFill="1" applyBorder="1" applyAlignment="1">
      <alignment horizontal="right"/>
    </xf>
    <xf numFmtId="3" fontId="2" fillId="4" borderId="19" xfId="0" applyFont="1" applyFill="1" applyBorder="1" applyAlignment="1">
      <alignment horizontal="right"/>
    </xf>
    <xf numFmtId="3" fontId="3" fillId="3" borderId="30" xfId="0" applyFont="1" applyFill="1" applyBorder="1" applyAlignment="1">
      <alignment horizontal="right"/>
    </xf>
    <xf numFmtId="3" fontId="0" fillId="0" borderId="28" xfId="0" applyBorder="1"/>
    <xf numFmtId="1" fontId="13" fillId="0" borderId="0" xfId="0" applyNumberFormat="1" applyFont="1" applyAlignment="1">
      <alignment horizontal="left"/>
    </xf>
    <xf numFmtId="3" fontId="4" fillId="0" borderId="0" xfId="0" applyFont="1" applyAlignment="1">
      <alignment horizontal="right"/>
    </xf>
    <xf numFmtId="1" fontId="47" fillId="5" borderId="31" xfId="0" applyNumberFormat="1" applyFont="1" applyFill="1" applyBorder="1" applyAlignment="1">
      <alignment horizontal="left"/>
    </xf>
    <xf numFmtId="3" fontId="48" fillId="5" borderId="32" xfId="0" applyFont="1" applyFill="1" applyBorder="1"/>
    <xf numFmtId="3" fontId="49" fillId="5" borderId="32" xfId="0" applyFont="1" applyFill="1" applyBorder="1"/>
    <xf numFmtId="1" fontId="47" fillId="5" borderId="7" xfId="0" applyNumberFormat="1" applyFont="1" applyFill="1" applyBorder="1" applyAlignment="1">
      <alignment horizontal="left"/>
    </xf>
    <xf numFmtId="3" fontId="48" fillId="5" borderId="0" xfId="0" applyFont="1" applyFill="1" applyBorder="1"/>
    <xf numFmtId="3" fontId="49" fillId="5" borderId="0" xfId="0" applyFont="1" applyFill="1" applyBorder="1"/>
    <xf numFmtId="4" fontId="51" fillId="0" borderId="0" xfId="1" applyNumberFormat="1" applyFont="1" applyFill="1" applyBorder="1"/>
    <xf numFmtId="165" fontId="16" fillId="0" borderId="0" xfId="1" applyNumberFormat="1" applyFont="1" applyFill="1" applyAlignment="1">
      <alignment horizontal="center"/>
    </xf>
    <xf numFmtId="165" fontId="21" fillId="0" borderId="27" xfId="1" applyNumberFormat="1" applyFont="1" applyFill="1" applyBorder="1" applyAlignment="1">
      <alignment horizontal="center"/>
    </xf>
    <xf numFmtId="1" fontId="13" fillId="6" borderId="31" xfId="0" applyNumberFormat="1" applyFont="1" applyFill="1" applyBorder="1" applyAlignment="1">
      <alignment horizontal="left"/>
    </xf>
    <xf numFmtId="3" fontId="4" fillId="6" borderId="32" xfId="0" applyFont="1" applyFill="1" applyBorder="1"/>
    <xf numFmtId="3" fontId="8" fillId="5" borderId="33" xfId="0" applyNumberFormat="1" applyFont="1" applyFill="1" applyBorder="1" applyAlignment="1">
      <alignment horizontal="right"/>
    </xf>
    <xf numFmtId="1" fontId="46" fillId="6" borderId="7" xfId="0" applyNumberFormat="1" applyFont="1" applyFill="1" applyBorder="1" applyAlignment="1">
      <alignment horizontal="left"/>
    </xf>
    <xf numFmtId="3" fontId="4" fillId="6" borderId="0" xfId="0" applyFont="1" applyFill="1" applyBorder="1"/>
    <xf numFmtId="3" fontId="4" fillId="6" borderId="34" xfId="0" applyFont="1" applyFill="1" applyBorder="1" applyAlignment="1">
      <alignment horizontal="right"/>
    </xf>
    <xf numFmtId="3" fontId="13" fillId="6" borderId="7" xfId="0" applyFont="1" applyFill="1" applyBorder="1" applyAlignment="1"/>
    <xf numFmtId="3" fontId="1" fillId="6" borderId="0" xfId="0" applyFont="1" applyFill="1" applyBorder="1" applyAlignment="1"/>
    <xf numFmtId="3" fontId="8" fillId="5" borderId="34" xfId="0" applyNumberFormat="1" applyFont="1" applyFill="1" applyBorder="1" applyAlignment="1">
      <alignment horizontal="right"/>
    </xf>
    <xf numFmtId="3" fontId="1" fillId="6" borderId="34" xfId="0" applyFont="1" applyFill="1" applyBorder="1" applyAlignment="1">
      <alignment horizontal="right"/>
    </xf>
    <xf numFmtId="3" fontId="7" fillId="0" borderId="0" xfId="1" applyNumberFormat="1" applyFont="1" applyFill="1"/>
    <xf numFmtId="164" fontId="35" fillId="0" borderId="0" xfId="1" applyNumberFormat="1" applyFont="1" applyFill="1" applyBorder="1"/>
    <xf numFmtId="0" fontId="32" fillId="0" borderId="10" xfId="1" applyFont="1" applyFill="1" applyBorder="1" applyAlignment="1">
      <alignment wrapText="1"/>
    </xf>
    <xf numFmtId="165" fontId="31" fillId="0" borderId="35" xfId="1" applyNumberFormat="1" applyFont="1" applyFill="1" applyBorder="1" applyAlignment="1">
      <alignment horizontal="center"/>
    </xf>
    <xf numFmtId="3" fontId="21" fillId="0" borderId="0" xfId="1" applyNumberFormat="1" applyFont="1" applyFill="1" applyBorder="1" applyProtection="1">
      <protection locked="0"/>
    </xf>
    <xf numFmtId="0" fontId="0" fillId="0" borderId="0" xfId="0" applyNumberFormat="1"/>
    <xf numFmtId="4" fontId="0" fillId="0" borderId="0" xfId="0" applyNumberFormat="1"/>
    <xf numFmtId="49" fontId="0" fillId="0" borderId="0" xfId="0" applyNumberFormat="1" applyAlignment="1">
      <alignment horizontal="right"/>
    </xf>
    <xf numFmtId="0" fontId="0" fillId="0" borderId="0" xfId="0" applyNumberFormat="1" applyAlignment="1">
      <alignment horizontal="right"/>
    </xf>
    <xf numFmtId="4" fontId="1" fillId="0" borderId="0" xfId="0" applyNumberFormat="1" applyFont="1"/>
    <xf numFmtId="3" fontId="1" fillId="0" borderId="0" xfId="0" applyFont="1" applyAlignment="1">
      <alignment horizontal="right"/>
    </xf>
    <xf numFmtId="1" fontId="1" fillId="0" borderId="0" xfId="0" applyNumberFormat="1" applyFont="1" applyAlignment="1">
      <alignment horizontal="right"/>
    </xf>
    <xf numFmtId="1" fontId="1" fillId="0" borderId="0" xfId="0" applyNumberFormat="1" applyFont="1"/>
    <xf numFmtId="4" fontId="54" fillId="0" borderId="0" xfId="0" applyNumberFormat="1" applyFont="1"/>
    <xf numFmtId="4" fontId="0" fillId="0" borderId="0" xfId="0" applyNumberFormat="1" applyFont="1"/>
    <xf numFmtId="4" fontId="0" fillId="0" borderId="0" xfId="0" applyNumberFormat="1" applyFont="1" applyAlignment="1">
      <alignment horizontal="right" vertical="top"/>
    </xf>
    <xf numFmtId="3" fontId="4" fillId="6" borderId="29" xfId="0" applyFont="1" applyFill="1" applyBorder="1"/>
    <xf numFmtId="3" fontId="4" fillId="6" borderId="14" xfId="0" applyFont="1" applyFill="1" applyBorder="1"/>
    <xf numFmtId="3" fontId="1" fillId="6" borderId="14" xfId="0" applyFont="1" applyFill="1" applyBorder="1" applyAlignment="1"/>
    <xf numFmtId="3" fontId="1" fillId="6" borderId="41" xfId="0" applyFont="1" applyFill="1" applyBorder="1" applyAlignment="1"/>
    <xf numFmtId="3" fontId="8" fillId="6" borderId="27" xfId="0" applyNumberFormat="1" applyFont="1" applyFill="1" applyBorder="1" applyAlignment="1">
      <alignment horizontal="right"/>
    </xf>
    <xf numFmtId="3" fontId="4" fillId="6" borderId="6" xfId="0" applyFont="1" applyFill="1" applyBorder="1" applyAlignment="1">
      <alignment horizontal="right"/>
    </xf>
    <xf numFmtId="3" fontId="8" fillId="6" borderId="6" xfId="0" applyFont="1" applyFill="1" applyBorder="1" applyAlignment="1">
      <alignment horizontal="right"/>
    </xf>
    <xf numFmtId="3" fontId="1" fillId="6" borderId="9" xfId="0" applyFont="1" applyFill="1" applyBorder="1" applyAlignment="1">
      <alignment horizontal="right"/>
    </xf>
    <xf numFmtId="3" fontId="4" fillId="6" borderId="9" xfId="0" applyFont="1" applyFill="1" applyBorder="1" applyAlignment="1">
      <alignment horizontal="right"/>
    </xf>
    <xf numFmtId="3" fontId="4" fillId="5" borderId="6" xfId="0" applyFont="1" applyFill="1" applyBorder="1" applyAlignment="1">
      <alignment horizontal="right"/>
    </xf>
    <xf numFmtId="3" fontId="4" fillId="5" borderId="9" xfId="0" applyFont="1" applyFill="1" applyBorder="1" applyAlignment="1">
      <alignment horizontal="right"/>
    </xf>
    <xf numFmtId="3" fontId="5" fillId="0" borderId="6" xfId="0" applyFont="1" applyFill="1" applyBorder="1" applyAlignment="1">
      <alignment horizontal="center"/>
    </xf>
    <xf numFmtId="3" fontId="5" fillId="0" borderId="34" xfId="0" applyFont="1" applyFill="1" applyBorder="1" applyAlignment="1">
      <alignment horizontal="center"/>
    </xf>
    <xf numFmtId="3" fontId="8" fillId="4" borderId="11" xfId="0" applyFont="1" applyFill="1" applyBorder="1" applyAlignment="1">
      <alignment horizontal="right"/>
    </xf>
    <xf numFmtId="3" fontId="48" fillId="5" borderId="44" xfId="0" applyFont="1" applyFill="1" applyBorder="1" applyAlignment="1">
      <alignment horizontal="right"/>
    </xf>
    <xf numFmtId="3" fontId="48" fillId="5" borderId="45" xfId="0" applyFont="1" applyFill="1" applyBorder="1" applyAlignment="1">
      <alignment horizontal="right"/>
    </xf>
    <xf numFmtId="3" fontId="50" fillId="5" borderId="21" xfId="0" applyFont="1" applyFill="1" applyBorder="1" applyAlignment="1">
      <alignment horizontal="right"/>
    </xf>
    <xf numFmtId="3" fontId="50" fillId="5" borderId="20" xfId="0" applyFont="1" applyFill="1" applyBorder="1" applyAlignment="1">
      <alignment horizontal="right"/>
    </xf>
    <xf numFmtId="0" fontId="17" fillId="0" borderId="3" xfId="1" applyFont="1" applyFill="1" applyBorder="1" applyAlignment="1">
      <alignment horizontal="center" vertical="center"/>
    </xf>
    <xf numFmtId="165" fontId="17" fillId="0" borderId="1" xfId="1" applyNumberFormat="1" applyFont="1" applyFill="1" applyBorder="1" applyAlignment="1">
      <alignment horizontal="center" vertical="center"/>
    </xf>
    <xf numFmtId="3" fontId="17" fillId="0" borderId="1" xfId="1" applyNumberFormat="1" applyFont="1" applyFill="1" applyBorder="1" applyAlignment="1">
      <alignment horizontal="center" vertical="center" wrapText="1"/>
    </xf>
    <xf numFmtId="3" fontId="17" fillId="0" borderId="2" xfId="1" applyNumberFormat="1" applyFont="1" applyFill="1" applyBorder="1" applyAlignment="1">
      <alignment horizontal="center" vertical="center"/>
    </xf>
    <xf numFmtId="1" fontId="55" fillId="0" borderId="40" xfId="0" applyNumberFormat="1" applyFont="1" applyFill="1" applyBorder="1" applyAlignment="1">
      <alignment horizontal="left"/>
    </xf>
    <xf numFmtId="3" fontId="5" fillId="0" borderId="43" xfId="0" applyFont="1" applyFill="1" applyBorder="1"/>
    <xf numFmtId="3" fontId="5" fillId="0" borderId="39" xfId="0" applyFont="1" applyFill="1" applyBorder="1"/>
    <xf numFmtId="3" fontId="0" fillId="0" borderId="0" xfId="0" applyFont="1" applyFill="1" applyAlignment="1">
      <alignment horizontal="center"/>
    </xf>
    <xf numFmtId="164" fontId="52" fillId="0" borderId="0" xfId="1" applyNumberFormat="1" applyFont="1" applyFill="1" applyBorder="1"/>
    <xf numFmtId="3" fontId="53" fillId="0" borderId="0" xfId="1" applyNumberFormat="1" applyFont="1" applyFill="1" applyBorder="1"/>
    <xf numFmtId="3" fontId="52" fillId="0" borderId="0" xfId="1" applyNumberFormat="1" applyFont="1" applyFill="1" applyBorder="1"/>
    <xf numFmtId="3" fontId="0" fillId="7" borderId="0" xfId="0" applyFill="1"/>
    <xf numFmtId="3" fontId="14" fillId="7" borderId="0" xfId="0" applyFont="1" applyFill="1"/>
    <xf numFmtId="3" fontId="13" fillId="3" borderId="35" xfId="0" applyFont="1" applyFill="1" applyBorder="1" applyAlignment="1"/>
    <xf numFmtId="3" fontId="58" fillId="4" borderId="11" xfId="0" applyFont="1" applyFill="1" applyBorder="1" applyAlignment="1">
      <alignment horizontal="right"/>
    </xf>
    <xf numFmtId="3" fontId="50" fillId="3" borderId="10" xfId="0" applyFont="1" applyFill="1" applyBorder="1" applyAlignment="1"/>
    <xf numFmtId="3" fontId="14" fillId="7" borderId="0" xfId="0" applyFont="1" applyFill="1" applyAlignment="1">
      <alignment horizontal="right"/>
    </xf>
    <xf numFmtId="4" fontId="59" fillId="2" borderId="0" xfId="1" applyNumberFormat="1" applyFont="1" applyFill="1" applyBorder="1" applyAlignment="1">
      <alignment vertical="center"/>
    </xf>
    <xf numFmtId="0" fontId="16" fillId="0" borderId="0" xfId="1" applyFill="1" applyAlignment="1">
      <alignment horizontal="left"/>
    </xf>
    <xf numFmtId="0" fontId="10" fillId="0" borderId="0" xfId="1" applyFont="1" applyFill="1" applyBorder="1"/>
    <xf numFmtId="3" fontId="10" fillId="0" borderId="0" xfId="1" applyNumberFormat="1" applyFont="1" applyFill="1" applyBorder="1"/>
    <xf numFmtId="3" fontId="33" fillId="0" borderId="0" xfId="1" applyNumberFormat="1" applyFont="1" applyFill="1" applyBorder="1"/>
    <xf numFmtId="3" fontId="16" fillId="0" borderId="0" xfId="1" applyNumberFormat="1" applyFill="1" applyBorder="1"/>
    <xf numFmtId="3" fontId="20" fillId="0" borderId="0" xfId="1" applyNumberFormat="1" applyFont="1" applyFill="1" applyBorder="1"/>
    <xf numFmtId="3" fontId="34" fillId="0" borderId="0" xfId="1" applyNumberFormat="1" applyFont="1" applyFill="1" applyBorder="1"/>
    <xf numFmtId="3" fontId="35" fillId="0" borderId="0" xfId="1" applyNumberFormat="1" applyFont="1" applyFill="1" applyBorder="1"/>
    <xf numFmtId="4" fontId="35" fillId="0" borderId="0" xfId="1" applyNumberFormat="1" applyFont="1" applyFill="1" applyBorder="1"/>
    <xf numFmtId="3" fontId="36" fillId="0" borderId="0" xfId="1" applyNumberFormat="1" applyFont="1" applyFill="1" applyBorder="1"/>
    <xf numFmtId="4" fontId="36" fillId="0" borderId="0" xfId="1" applyNumberFormat="1" applyFont="1" applyFill="1" applyBorder="1"/>
    <xf numFmtId="3" fontId="16" fillId="0" borderId="0" xfId="1" applyNumberFormat="1" applyFont="1" applyFill="1" applyBorder="1" applyAlignment="1">
      <alignment horizontal="center"/>
    </xf>
    <xf numFmtId="0" fontId="16" fillId="0" borderId="0" xfId="1" applyFont="1" applyFill="1" applyBorder="1" applyAlignment="1">
      <alignment vertical="center"/>
    </xf>
    <xf numFmtId="4" fontId="16" fillId="0" borderId="0" xfId="1" applyNumberFormat="1" applyFont="1" applyFill="1" applyBorder="1" applyAlignment="1">
      <alignment vertical="center"/>
    </xf>
    <xf numFmtId="3" fontId="42" fillId="0" borderId="0" xfId="1" applyNumberFormat="1" applyFont="1" applyFill="1" applyBorder="1"/>
    <xf numFmtId="0" fontId="16" fillId="0" borderId="0" xfId="1" applyFont="1" applyFill="1" applyBorder="1" applyAlignment="1">
      <alignment horizontal="right"/>
    </xf>
    <xf numFmtId="3" fontId="43" fillId="0" borderId="0" xfId="1" applyNumberFormat="1" applyFont="1" applyFill="1" applyBorder="1"/>
    <xf numFmtId="4" fontId="19" fillId="0" borderId="0" xfId="1" applyNumberFormat="1" applyFont="1" applyFill="1" applyBorder="1"/>
    <xf numFmtId="0" fontId="30" fillId="0" borderId="0" xfId="1" applyFont="1" applyFill="1" applyBorder="1" applyAlignment="1">
      <alignment vertical="top"/>
    </xf>
    <xf numFmtId="3" fontId="32" fillId="0" borderId="0" xfId="1" applyNumberFormat="1" applyFont="1" applyFill="1" applyBorder="1" applyAlignment="1"/>
    <xf numFmtId="3" fontId="60" fillId="0" borderId="0" xfId="1" applyNumberFormat="1" applyFont="1" applyFill="1" applyBorder="1" applyAlignment="1"/>
    <xf numFmtId="3" fontId="13" fillId="0" borderId="0" xfId="0" applyFont="1" applyBorder="1" applyAlignment="1">
      <alignment horizontal="right"/>
    </xf>
    <xf numFmtId="0" fontId="32" fillId="0" borderId="0" xfId="1" applyFont="1" applyFill="1" applyBorder="1" applyAlignment="1">
      <alignment wrapText="1"/>
    </xf>
    <xf numFmtId="165" fontId="31" fillId="0" borderId="0" xfId="1" applyNumberFormat="1" applyFont="1" applyFill="1" applyBorder="1" applyAlignment="1">
      <alignment horizontal="center"/>
    </xf>
    <xf numFmtId="3" fontId="31" fillId="0" borderId="0" xfId="1" applyNumberFormat="1" applyFont="1" applyFill="1" applyBorder="1"/>
    <xf numFmtId="0" fontId="20" fillId="0" borderId="0" xfId="1" applyFont="1" applyFill="1" applyBorder="1"/>
    <xf numFmtId="0" fontId="17" fillId="0" borderId="0" xfId="1" applyFont="1" applyFill="1" applyBorder="1" applyAlignment="1">
      <alignment horizontal="center" vertical="center"/>
    </xf>
    <xf numFmtId="165" fontId="17" fillId="0" borderId="0" xfId="1" applyNumberFormat="1" applyFont="1" applyFill="1" applyBorder="1" applyAlignment="1">
      <alignment horizontal="center" vertical="center"/>
    </xf>
    <xf numFmtId="3" fontId="17" fillId="0" borderId="0" xfId="1" applyNumberFormat="1" applyFont="1" applyFill="1" applyBorder="1" applyAlignment="1">
      <alignment horizontal="center" vertical="center" wrapText="1"/>
    </xf>
    <xf numFmtId="3" fontId="17" fillId="0" borderId="0" xfId="1" applyNumberFormat="1" applyFont="1" applyFill="1" applyBorder="1" applyAlignment="1">
      <alignment horizontal="center" vertical="center"/>
    </xf>
    <xf numFmtId="3" fontId="5" fillId="0" borderId="0" xfId="0" applyFont="1" applyFill="1" applyBorder="1" applyAlignment="1">
      <alignment horizontal="center"/>
    </xf>
    <xf numFmtId="3" fontId="5" fillId="0" borderId="0" xfId="0" applyFont="1" applyFill="1" applyBorder="1" applyAlignment="1">
      <alignment horizontal="center" vertical="center"/>
    </xf>
    <xf numFmtId="3" fontId="9" fillId="0" borderId="0" xfId="0" applyFont="1" applyBorder="1" applyAlignment="1">
      <alignment horizontal="right"/>
    </xf>
    <xf numFmtId="0" fontId="7" fillId="0" borderId="0" xfId="1" applyFont="1" applyFill="1" applyBorder="1" applyAlignment="1"/>
    <xf numFmtId="0" fontId="10" fillId="0" borderId="0" xfId="1" applyFont="1" applyFill="1" applyBorder="1" applyAlignment="1"/>
    <xf numFmtId="1" fontId="12" fillId="0" borderId="0" xfId="0" applyNumberFormat="1" applyFont="1" applyBorder="1" applyAlignment="1">
      <alignment horizontal="left"/>
    </xf>
    <xf numFmtId="0" fontId="20" fillId="0" borderId="46" xfId="1" applyFont="1" applyFill="1" applyBorder="1"/>
    <xf numFmtId="3" fontId="13" fillId="0" borderId="47" xfId="0" applyFont="1" applyBorder="1" applyAlignment="1">
      <alignment horizontal="right"/>
    </xf>
    <xf numFmtId="0" fontId="16" fillId="0" borderId="48" xfId="1" applyFont="1" applyFill="1" applyBorder="1"/>
    <xf numFmtId="3" fontId="9" fillId="0" borderId="49" xfId="0" applyFont="1" applyBorder="1" applyAlignment="1">
      <alignment horizontal="right"/>
    </xf>
    <xf numFmtId="0" fontId="4" fillId="0" borderId="50" xfId="1" applyFont="1" applyFill="1" applyBorder="1"/>
    <xf numFmtId="0" fontId="4" fillId="0" borderId="51" xfId="1" applyFont="1" applyFill="1" applyBorder="1"/>
    <xf numFmtId="165" fontId="19" fillId="0" borderId="52" xfId="1" applyNumberFormat="1" applyFont="1" applyFill="1" applyBorder="1" applyAlignment="1">
      <alignment horizontal="center"/>
    </xf>
    <xf numFmtId="3" fontId="7" fillId="0" borderId="52" xfId="1" applyNumberFormat="1" applyFont="1" applyFill="1" applyBorder="1"/>
    <xf numFmtId="3" fontId="9" fillId="0" borderId="53" xfId="0" applyFont="1" applyBorder="1" applyAlignment="1">
      <alignment horizontal="right"/>
    </xf>
    <xf numFmtId="3" fontId="0" fillId="6" borderId="7" xfId="0" applyFont="1" applyFill="1" applyBorder="1" applyAlignment="1"/>
    <xf numFmtId="0" fontId="7" fillId="0" borderId="0" xfId="1" applyFont="1" applyFill="1"/>
    <xf numFmtId="3" fontId="7" fillId="0" borderId="5" xfId="0" applyFont="1" applyFill="1" applyBorder="1"/>
    <xf numFmtId="3" fontId="7" fillId="0" borderId="8" xfId="0" applyFont="1" applyFill="1" applyBorder="1"/>
    <xf numFmtId="3" fontId="0" fillId="0" borderId="0" xfId="0" applyFont="1" applyFill="1"/>
    <xf numFmtId="3" fontId="0" fillId="7" borderId="0" xfId="0" applyFont="1" applyFill="1"/>
    <xf numFmtId="3" fontId="9" fillId="0" borderId="6" xfId="0" applyNumberFormat="1" applyFont="1" applyFill="1" applyBorder="1"/>
    <xf numFmtId="3" fontId="9" fillId="0" borderId="0" xfId="0" applyNumberFormat="1" applyFont="1" applyFill="1" applyBorder="1"/>
    <xf numFmtId="3" fontId="9" fillId="0" borderId="12" xfId="0" applyNumberFormat="1" applyFont="1" applyFill="1" applyBorder="1"/>
    <xf numFmtId="3" fontId="8" fillId="0" borderId="9" xfId="0" applyNumberFormat="1" applyFont="1" applyFill="1" applyBorder="1"/>
    <xf numFmtId="3" fontId="8" fillId="0" borderId="11" xfId="0" applyNumberFormat="1" applyFont="1" applyFill="1" applyBorder="1"/>
    <xf numFmtId="3" fontId="9" fillId="7" borderId="6" xfId="0" applyNumberFormat="1" applyFont="1" applyFill="1" applyBorder="1"/>
    <xf numFmtId="3" fontId="9" fillId="7" borderId="9" xfId="0" applyNumberFormat="1" applyFont="1" applyFill="1" applyBorder="1"/>
    <xf numFmtId="3" fontId="8" fillId="7" borderId="9" xfId="0" applyNumberFormat="1" applyFont="1" applyFill="1" applyBorder="1"/>
    <xf numFmtId="3" fontId="9" fillId="7" borderId="0" xfId="0" applyNumberFormat="1" applyFont="1" applyFill="1" applyBorder="1" applyAlignment="1">
      <alignment horizontal="right"/>
    </xf>
    <xf numFmtId="3" fontId="8" fillId="7" borderId="11" xfId="0" applyNumberFormat="1" applyFont="1" applyFill="1" applyBorder="1"/>
    <xf numFmtId="3" fontId="13" fillId="0" borderId="54" xfId="0" applyFont="1" applyFill="1" applyBorder="1"/>
    <xf numFmtId="3" fontId="8" fillId="0" borderId="18" xfId="0" applyNumberFormat="1" applyFont="1" applyFill="1" applyBorder="1"/>
    <xf numFmtId="3" fontId="7" fillId="7" borderId="6" xfId="0" applyNumberFormat="1" applyFont="1" applyFill="1" applyBorder="1"/>
    <xf numFmtId="164" fontId="7" fillId="7" borderId="34" xfId="0" applyNumberFormat="1" applyFont="1" applyFill="1" applyBorder="1"/>
    <xf numFmtId="3" fontId="21" fillId="0" borderId="38" xfId="1" applyNumberFormat="1" applyFont="1" applyFill="1" applyBorder="1" applyAlignment="1">
      <alignment horizontal="center"/>
    </xf>
    <xf numFmtId="3" fontId="7" fillId="0" borderId="5" xfId="0" applyFont="1" applyFill="1" applyBorder="1" applyAlignment="1">
      <alignment wrapText="1"/>
    </xf>
    <xf numFmtId="3" fontId="9" fillId="7" borderId="6" xfId="0" applyNumberFormat="1" applyFont="1" applyFill="1" applyBorder="1" applyAlignment="1">
      <alignment vertical="top"/>
    </xf>
    <xf numFmtId="3" fontId="7" fillId="0" borderId="13" xfId="0" applyFont="1" applyFill="1" applyBorder="1"/>
    <xf numFmtId="3" fontId="9" fillId="0" borderId="27" xfId="0" applyNumberFormat="1" applyFont="1" applyFill="1" applyBorder="1"/>
    <xf numFmtId="3" fontId="9" fillId="7" borderId="27" xfId="0" applyNumberFormat="1" applyFont="1" applyFill="1" applyBorder="1"/>
    <xf numFmtId="3" fontId="9" fillId="0" borderId="6" xfId="0" applyNumberFormat="1" applyFont="1" applyFill="1" applyBorder="1" applyAlignment="1">
      <alignment vertical="top"/>
    </xf>
    <xf numFmtId="4" fontId="20" fillId="0" borderId="0" xfId="1" applyNumberFormat="1" applyFont="1" applyFill="1"/>
    <xf numFmtId="164" fontId="62" fillId="0" borderId="0" xfId="1" applyNumberFormat="1" applyFont="1" applyFill="1" applyBorder="1"/>
    <xf numFmtId="3" fontId="40" fillId="0" borderId="0" xfId="1" applyNumberFormat="1" applyFont="1" applyFill="1" applyBorder="1"/>
    <xf numFmtId="4" fontId="24" fillId="0" borderId="0" xfId="1" applyNumberFormat="1" applyFont="1" applyFill="1"/>
    <xf numFmtId="4" fontId="25" fillId="0" borderId="0" xfId="1" applyNumberFormat="1" applyFont="1" applyFill="1" applyBorder="1"/>
    <xf numFmtId="0" fontId="19" fillId="0" borderId="0" xfId="1" applyFont="1" applyFill="1" applyBorder="1"/>
    <xf numFmtId="164" fontId="44" fillId="0" borderId="0" xfId="1" applyNumberFormat="1" applyFont="1" applyFill="1" applyBorder="1"/>
    <xf numFmtId="164" fontId="25" fillId="0" borderId="0" xfId="1" applyNumberFormat="1" applyFont="1" applyFill="1" applyBorder="1"/>
    <xf numFmtId="4" fontId="27" fillId="0" borderId="0" xfId="1" applyNumberFormat="1" applyFont="1" applyFill="1" applyBorder="1"/>
    <xf numFmtId="4" fontId="28" fillId="0" borderId="0" xfId="1" applyNumberFormat="1" applyFont="1" applyFill="1" applyBorder="1"/>
    <xf numFmtId="0" fontId="29" fillId="0" borderId="0" xfId="1" applyFont="1" applyFill="1" applyBorder="1"/>
    <xf numFmtId="3" fontId="63" fillId="0" borderId="0" xfId="0" applyFont="1" applyFill="1" applyAlignment="1">
      <alignment horizontal="center" vertical="center"/>
    </xf>
    <xf numFmtId="3" fontId="4" fillId="8" borderId="3" xfId="0" applyFont="1" applyFill="1" applyBorder="1" applyAlignment="1">
      <alignment horizontal="center" vertical="center"/>
    </xf>
    <xf numFmtId="3" fontId="5" fillId="8" borderId="1" xfId="0" applyFont="1" applyFill="1" applyBorder="1" applyAlignment="1">
      <alignment horizontal="center" vertical="center"/>
    </xf>
    <xf numFmtId="3" fontId="5" fillId="8" borderId="2" xfId="0" applyFont="1" applyFill="1" applyBorder="1" applyAlignment="1">
      <alignment horizontal="center" vertical="center"/>
    </xf>
    <xf numFmtId="3" fontId="5" fillId="8" borderId="3" xfId="0" applyFont="1" applyFill="1" applyBorder="1" applyAlignment="1">
      <alignment horizontal="center"/>
    </xf>
    <xf numFmtId="3" fontId="5" fillId="8" borderId="4" xfId="0" applyFont="1" applyFill="1" applyBorder="1" applyAlignment="1">
      <alignment horizontal="center" vertical="center"/>
    </xf>
    <xf numFmtId="0" fontId="17" fillId="8" borderId="3" xfId="1" applyFont="1" applyFill="1" applyBorder="1" applyAlignment="1">
      <alignment horizontal="center" vertical="center"/>
    </xf>
    <xf numFmtId="165" fontId="17" fillId="8" borderId="1" xfId="1" applyNumberFormat="1" applyFont="1" applyFill="1" applyBorder="1" applyAlignment="1">
      <alignment horizontal="center" vertical="center"/>
    </xf>
    <xf numFmtId="3" fontId="17" fillId="8" borderId="1" xfId="1" applyNumberFormat="1" applyFont="1" applyFill="1" applyBorder="1" applyAlignment="1">
      <alignment horizontal="center" vertical="center" wrapText="1"/>
    </xf>
    <xf numFmtId="3" fontId="17" fillId="8" borderId="2" xfId="1" applyNumberFormat="1" applyFont="1" applyFill="1" applyBorder="1" applyAlignment="1">
      <alignment horizontal="center" vertical="center"/>
    </xf>
    <xf numFmtId="3" fontId="17" fillId="8" borderId="4" xfId="1" applyNumberFormat="1" applyFont="1" applyFill="1" applyBorder="1" applyAlignment="1">
      <alignment horizontal="center" vertical="center"/>
    </xf>
    <xf numFmtId="3" fontId="17" fillId="8" borderId="1" xfId="0" applyNumberFormat="1" applyFont="1" applyFill="1" applyBorder="1" applyAlignment="1">
      <alignment horizontal="center" vertical="center" wrapText="1"/>
    </xf>
    <xf numFmtId="3" fontId="16" fillId="8" borderId="2" xfId="0" applyNumberFormat="1" applyFont="1" applyFill="1" applyBorder="1" applyAlignment="1">
      <alignment horizontal="center" vertical="center"/>
    </xf>
    <xf numFmtId="1" fontId="55" fillId="8" borderId="40" xfId="0" applyNumberFormat="1" applyFont="1" applyFill="1" applyBorder="1" applyAlignment="1">
      <alignment horizontal="left"/>
    </xf>
    <xf numFmtId="3" fontId="5" fillId="8" borderId="43" xfId="0" applyFont="1" applyFill="1" applyBorder="1"/>
    <xf numFmtId="3" fontId="5" fillId="8" borderId="39" xfId="0" applyFont="1" applyFill="1" applyBorder="1"/>
    <xf numFmtId="3" fontId="5" fillId="8" borderId="6" xfId="0" applyFont="1" applyFill="1" applyBorder="1" applyAlignment="1">
      <alignment horizontal="center"/>
    </xf>
    <xf numFmtId="3" fontId="5" fillId="8" borderId="34" xfId="0" applyFont="1" applyFill="1" applyBorder="1" applyAlignment="1">
      <alignment horizontal="center"/>
    </xf>
    <xf numFmtId="1" fontId="47" fillId="0" borderId="31" xfId="0" applyNumberFormat="1" applyFont="1" applyFill="1" applyBorder="1" applyAlignment="1">
      <alignment horizontal="left"/>
    </xf>
    <xf numFmtId="3" fontId="4" fillId="0" borderId="32" xfId="0" applyFont="1" applyFill="1" applyBorder="1"/>
    <xf numFmtId="3" fontId="4" fillId="0" borderId="29" xfId="0" applyFont="1" applyFill="1" applyBorder="1"/>
    <xf numFmtId="3" fontId="8" fillId="0" borderId="27" xfId="0" applyNumberFormat="1" applyFont="1" applyFill="1" applyBorder="1" applyAlignment="1">
      <alignment horizontal="right"/>
    </xf>
    <xf numFmtId="1" fontId="47" fillId="0" borderId="7" xfId="0" applyNumberFormat="1" applyFont="1" applyFill="1" applyBorder="1" applyAlignment="1">
      <alignment horizontal="left"/>
    </xf>
    <xf numFmtId="3" fontId="1" fillId="0" borderId="0" xfId="0" applyFont="1" applyFill="1" applyBorder="1" applyAlignment="1"/>
    <xf numFmtId="3" fontId="1" fillId="0" borderId="14" xfId="0" applyFont="1" applyFill="1" applyBorder="1" applyAlignment="1"/>
    <xf numFmtId="3" fontId="8" fillId="0" borderId="6" xfId="0" applyFont="1" applyFill="1" applyBorder="1" applyAlignment="1">
      <alignment horizontal="right"/>
    </xf>
    <xf numFmtId="3" fontId="13" fillId="0" borderId="10" xfId="0" applyFont="1" applyFill="1" applyBorder="1" applyAlignment="1"/>
    <xf numFmtId="3" fontId="3" fillId="0" borderId="19" xfId="0" applyFont="1" applyFill="1" applyBorder="1" applyAlignment="1"/>
    <xf numFmtId="3" fontId="3" fillId="0" borderId="19" xfId="0" applyFont="1" applyFill="1" applyBorder="1" applyAlignment="1">
      <alignment horizontal="right"/>
    </xf>
    <xf numFmtId="3" fontId="2" fillId="0" borderId="19" xfId="0" applyFont="1" applyFill="1" applyBorder="1" applyAlignment="1">
      <alignment horizontal="right"/>
    </xf>
    <xf numFmtId="3" fontId="8" fillId="0" borderId="11" xfId="0" applyFont="1" applyFill="1" applyBorder="1" applyAlignment="1">
      <alignment horizontal="right"/>
    </xf>
    <xf numFmtId="3" fontId="3" fillId="0" borderId="30" xfId="0" applyFont="1" applyFill="1" applyBorder="1" applyAlignment="1">
      <alignment horizontal="right"/>
    </xf>
    <xf numFmtId="3" fontId="16" fillId="0" borderId="0" xfId="1" applyNumberFormat="1" applyFont="1" applyFill="1" applyAlignment="1">
      <alignment horizontal="right"/>
    </xf>
    <xf numFmtId="3" fontId="9" fillId="0" borderId="5" xfId="0" applyFont="1" applyFill="1" applyBorder="1"/>
    <xf numFmtId="0" fontId="0" fillId="0" borderId="38" xfId="2" applyFont="1" applyFill="1" applyBorder="1"/>
    <xf numFmtId="3" fontId="7" fillId="0" borderId="38" xfId="1" applyNumberFormat="1" applyFont="1" applyFill="1" applyBorder="1"/>
    <xf numFmtId="3" fontId="7" fillId="7" borderId="27" xfId="0" applyNumberFormat="1" applyFont="1" applyFill="1" applyBorder="1"/>
    <xf numFmtId="164" fontId="7" fillId="7" borderId="33" xfId="0" applyNumberFormat="1" applyFont="1" applyFill="1" applyBorder="1"/>
    <xf numFmtId="0" fontId="20" fillId="0" borderId="5" xfId="1" applyFont="1" applyFill="1" applyBorder="1"/>
    <xf numFmtId="3" fontId="21" fillId="0" borderId="6" xfId="1" applyNumberFormat="1" applyFont="1" applyFill="1" applyBorder="1" applyAlignment="1">
      <alignment horizontal="center"/>
    </xf>
    <xf numFmtId="0" fontId="25" fillId="0" borderId="5" xfId="1" applyFont="1" applyFill="1" applyBorder="1" applyAlignment="1">
      <alignment wrapText="1"/>
    </xf>
    <xf numFmtId="165" fontId="16" fillId="0" borderId="6" xfId="1" applyNumberFormat="1" applyFont="1" applyFill="1" applyBorder="1" applyAlignment="1">
      <alignment horizontal="center"/>
    </xf>
    <xf numFmtId="0" fontId="16" fillId="0" borderId="8" xfId="1" applyFont="1" applyFill="1" applyBorder="1"/>
    <xf numFmtId="165" fontId="16" fillId="0" borderId="9" xfId="1" applyNumberFormat="1" applyFont="1" applyFill="1" applyBorder="1" applyAlignment="1">
      <alignment horizontal="center"/>
    </xf>
    <xf numFmtId="0" fontId="20" fillId="0" borderId="15" xfId="1" applyFont="1" applyFill="1" applyBorder="1"/>
    <xf numFmtId="1" fontId="21" fillId="0" borderId="16" xfId="1" applyNumberFormat="1" applyFont="1" applyFill="1" applyBorder="1" applyAlignment="1">
      <alignment horizontal="center"/>
    </xf>
    <xf numFmtId="165" fontId="21" fillId="0" borderId="9" xfId="1" applyNumberFormat="1" applyFont="1" applyFill="1" applyBorder="1" applyAlignment="1">
      <alignment horizontal="center"/>
    </xf>
    <xf numFmtId="0" fontId="20" fillId="0" borderId="7" xfId="1" applyFont="1" applyFill="1" applyBorder="1"/>
    <xf numFmtId="1" fontId="21" fillId="0" borderId="6" xfId="1" applyNumberFormat="1" applyFont="1" applyFill="1" applyBorder="1" applyAlignment="1">
      <alignment horizontal="center"/>
    </xf>
    <xf numFmtId="0" fontId="20" fillId="0" borderId="56" xfId="1" applyFont="1" applyFill="1" applyBorder="1"/>
    <xf numFmtId="3" fontId="21" fillId="0" borderId="9" xfId="1" applyNumberFormat="1" applyFont="1" applyFill="1" applyBorder="1" applyAlignment="1">
      <alignment horizontal="center"/>
    </xf>
    <xf numFmtId="0" fontId="20" fillId="0" borderId="15" xfId="1" applyFont="1" applyFill="1" applyBorder="1" applyAlignment="1">
      <alignment wrapText="1"/>
    </xf>
    <xf numFmtId="3" fontId="21" fillId="0" borderId="16" xfId="1" applyNumberFormat="1" applyFont="1" applyFill="1" applyBorder="1" applyAlignment="1">
      <alignment horizontal="center"/>
    </xf>
    <xf numFmtId="0" fontId="20" fillId="0" borderId="5" xfId="1" applyFont="1" applyFill="1" applyBorder="1" applyAlignment="1">
      <alignment wrapText="1"/>
    </xf>
    <xf numFmtId="0" fontId="20" fillId="0" borderId="15" xfId="1" applyFont="1" applyFill="1" applyBorder="1" applyAlignment="1"/>
    <xf numFmtId="3" fontId="21" fillId="0" borderId="0" xfId="1" applyNumberFormat="1" applyFont="1" applyFill="1" applyBorder="1" applyAlignment="1">
      <alignment horizontal="center"/>
    </xf>
    <xf numFmtId="3" fontId="9" fillId="0" borderId="0" xfId="0" applyFont="1" applyFill="1" applyBorder="1" applyAlignment="1">
      <alignment horizontal="right"/>
    </xf>
    <xf numFmtId="0" fontId="16" fillId="0" borderId="54" xfId="1" applyFont="1" applyFill="1" applyBorder="1"/>
    <xf numFmtId="3" fontId="21" fillId="0" borderId="18" xfId="1" applyNumberFormat="1" applyFont="1" applyFill="1" applyBorder="1" applyAlignment="1">
      <alignment horizontal="center"/>
    </xf>
    <xf numFmtId="164" fontId="13" fillId="7" borderId="57" xfId="0" applyNumberFormat="1" applyFont="1" applyFill="1" applyBorder="1" applyAlignment="1">
      <alignment vertical="center"/>
    </xf>
    <xf numFmtId="0" fontId="20" fillId="0" borderId="17" xfId="1" applyFont="1" applyFill="1" applyBorder="1" applyAlignment="1">
      <alignment wrapText="1"/>
    </xf>
    <xf numFmtId="165" fontId="20" fillId="0" borderId="42" xfId="1" applyNumberFormat="1" applyFont="1" applyFill="1" applyBorder="1" applyAlignment="1">
      <alignment horizontal="center"/>
    </xf>
    <xf numFmtId="3" fontId="20" fillId="0" borderId="18" xfId="1" applyNumberFormat="1" applyFont="1" applyFill="1" applyBorder="1"/>
    <xf numFmtId="3" fontId="9" fillId="0" borderId="18" xfId="0" applyNumberFormat="1" applyFont="1" applyFill="1" applyBorder="1"/>
    <xf numFmtId="164" fontId="9" fillId="0" borderId="22" xfId="0" applyNumberFormat="1" applyFont="1" applyFill="1" applyBorder="1"/>
    <xf numFmtId="3" fontId="20" fillId="0" borderId="16" xfId="1" applyNumberFormat="1" applyFont="1" applyFill="1" applyBorder="1"/>
    <xf numFmtId="3" fontId="7" fillId="0" borderId="9" xfId="1" applyNumberFormat="1" applyFont="1" applyFill="1" applyBorder="1"/>
    <xf numFmtId="3" fontId="20" fillId="0" borderId="6" xfId="1" applyNumberFormat="1" applyFont="1" applyFill="1" applyBorder="1"/>
    <xf numFmtId="3" fontId="25" fillId="0" borderId="6" xfId="1" applyNumberFormat="1" applyFont="1" applyFill="1" applyBorder="1"/>
    <xf numFmtId="3" fontId="20" fillId="0" borderId="9" xfId="1" applyNumberFormat="1" applyFont="1" applyFill="1" applyBorder="1"/>
    <xf numFmtId="3" fontId="9" fillId="0" borderId="62" xfId="0" applyNumberFormat="1" applyFont="1" applyFill="1" applyBorder="1"/>
    <xf numFmtId="3" fontId="9" fillId="7" borderId="62" xfId="0" applyNumberFormat="1" applyFont="1" applyFill="1" applyBorder="1"/>
    <xf numFmtId="3" fontId="9" fillId="7" borderId="61" xfId="0" applyNumberFormat="1" applyFont="1" applyFill="1" applyBorder="1"/>
    <xf numFmtId="3" fontId="9" fillId="0" borderId="61" xfId="0" applyNumberFormat="1" applyFont="1" applyFill="1" applyBorder="1"/>
    <xf numFmtId="3" fontId="7" fillId="0" borderId="6" xfId="0" applyNumberFormat="1" applyFont="1" applyFill="1" applyBorder="1"/>
    <xf numFmtId="164" fontId="7" fillId="0" borderId="21" xfId="0" applyNumberFormat="1" applyFont="1" applyFill="1" applyBorder="1"/>
    <xf numFmtId="3" fontId="7" fillId="0" borderId="8" xfId="0" applyFont="1" applyFill="1" applyBorder="1" applyAlignment="1">
      <alignment wrapText="1"/>
    </xf>
    <xf numFmtId="3" fontId="9" fillId="0" borderId="9" xfId="0" applyNumberFormat="1" applyFont="1" applyFill="1" applyBorder="1" applyAlignment="1">
      <alignment vertical="top"/>
    </xf>
    <xf numFmtId="3" fontId="9" fillId="7" borderId="9" xfId="0" applyNumberFormat="1" applyFont="1" applyFill="1" applyBorder="1" applyAlignment="1">
      <alignment vertical="top"/>
    </xf>
    <xf numFmtId="3" fontId="5" fillId="8" borderId="11" xfId="0" applyFont="1" applyFill="1" applyBorder="1" applyAlignment="1">
      <alignment horizontal="center" vertical="center"/>
    </xf>
    <xf numFmtId="3" fontId="9" fillId="0" borderId="64" xfId="0" applyNumberFormat="1" applyFont="1" applyFill="1" applyBorder="1"/>
    <xf numFmtId="1" fontId="7" fillId="0" borderId="0" xfId="0" applyNumberFormat="1" applyFont="1" applyFill="1" applyAlignment="1">
      <alignment horizontal="justify" wrapText="1"/>
    </xf>
    <xf numFmtId="10" fontId="0" fillId="0" borderId="0" xfId="3" applyNumberFormat="1" applyFont="1" applyFill="1"/>
    <xf numFmtId="3" fontId="5" fillId="0" borderId="0" xfId="0" applyFont="1" applyFill="1" applyAlignment="1">
      <alignment wrapText="1"/>
    </xf>
    <xf numFmtId="3" fontId="1" fillId="0" borderId="0" xfId="0" applyFont="1" applyFill="1"/>
    <xf numFmtId="3" fontId="6" fillId="0" borderId="0" xfId="0" applyFont="1" applyFill="1" applyAlignment="1"/>
    <xf numFmtId="3" fontId="8" fillId="7" borderId="52" xfId="0" applyNumberFormat="1" applyFont="1" applyFill="1" applyBorder="1"/>
    <xf numFmtId="3" fontId="25" fillId="0" borderId="67" xfId="0" applyFont="1" applyFill="1" applyBorder="1" applyAlignment="1">
      <alignment horizontal="left"/>
    </xf>
    <xf numFmtId="3" fontId="25" fillId="0" borderId="67" xfId="0" applyFont="1" applyFill="1" applyBorder="1" applyAlignment="1">
      <alignment horizontal="left" wrapText="1"/>
    </xf>
    <xf numFmtId="1" fontId="13" fillId="7" borderId="69" xfId="0" applyNumberFormat="1" applyFont="1" applyFill="1" applyBorder="1" applyAlignment="1">
      <alignment vertical="center" wrapText="1"/>
    </xf>
    <xf numFmtId="3" fontId="13" fillId="7" borderId="70" xfId="0" applyFont="1" applyFill="1" applyBorder="1" applyAlignment="1">
      <alignment vertical="center"/>
    </xf>
    <xf numFmtId="166" fontId="0" fillId="0" borderId="0" xfId="0" applyNumberFormat="1" applyFill="1"/>
    <xf numFmtId="3" fontId="8" fillId="0" borderId="70" xfId="0" applyNumberFormat="1" applyFont="1" applyFill="1" applyBorder="1"/>
    <xf numFmtId="164" fontId="13" fillId="0" borderId="71" xfId="0" applyNumberFormat="1" applyFont="1" applyBorder="1" applyAlignment="1">
      <alignment horizontal="right"/>
    </xf>
    <xf numFmtId="3" fontId="8" fillId="0" borderId="73" xfId="0" applyNumberFormat="1" applyFont="1" applyFill="1" applyBorder="1"/>
    <xf numFmtId="3" fontId="1" fillId="0" borderId="72" xfId="0" applyFont="1" applyFill="1" applyBorder="1" applyAlignment="1">
      <alignment horizontal="center"/>
    </xf>
    <xf numFmtId="164" fontId="13" fillId="0" borderId="72" xfId="0" applyNumberFormat="1" applyFont="1" applyBorder="1" applyAlignment="1">
      <alignment horizontal="right"/>
    </xf>
    <xf numFmtId="164" fontId="7" fillId="7" borderId="72" xfId="0" applyNumberFormat="1" applyFont="1" applyFill="1" applyBorder="1"/>
    <xf numFmtId="164" fontId="13" fillId="7" borderId="72" xfId="0" applyNumberFormat="1" applyFont="1" applyFill="1" applyBorder="1" applyAlignment="1">
      <alignment vertical="center"/>
    </xf>
    <xf numFmtId="3" fontId="5" fillId="0" borderId="72" xfId="0" applyFont="1" applyFill="1" applyBorder="1" applyAlignment="1">
      <alignment horizontal="center" vertical="center" wrapText="1"/>
    </xf>
    <xf numFmtId="3" fontId="5" fillId="0" borderId="72" xfId="0" applyFont="1" applyFill="1" applyBorder="1" applyAlignment="1">
      <alignment horizontal="center" vertical="center"/>
    </xf>
    <xf numFmtId="164" fontId="9" fillId="0" borderId="72" xfId="0" applyNumberFormat="1" applyFont="1" applyFill="1" applyBorder="1" applyAlignment="1">
      <alignment horizontal="right"/>
    </xf>
    <xf numFmtId="164" fontId="13" fillId="0" borderId="72" xfId="0" applyNumberFormat="1" applyFont="1" applyFill="1" applyBorder="1" applyAlignment="1">
      <alignment horizontal="right"/>
    </xf>
    <xf numFmtId="3" fontId="16" fillId="0" borderId="72" xfId="0" applyFont="1" applyFill="1" applyBorder="1" applyAlignment="1">
      <alignment horizontal="center" vertical="center"/>
    </xf>
    <xf numFmtId="3" fontId="17" fillId="0" borderId="72" xfId="1" applyNumberFormat="1" applyFont="1" applyFill="1" applyBorder="1" applyAlignment="1">
      <alignment horizontal="center" vertical="center"/>
    </xf>
    <xf numFmtId="3" fontId="0" fillId="0" borderId="0" xfId="0" applyFont="1" applyFill="1" applyBorder="1"/>
    <xf numFmtId="164" fontId="13" fillId="7" borderId="71" xfId="0" applyNumberFormat="1" applyFont="1" applyFill="1" applyBorder="1" applyAlignment="1">
      <alignment vertical="center"/>
    </xf>
    <xf numFmtId="164" fontId="9" fillId="0" borderId="75" xfId="0" applyNumberFormat="1" applyFont="1" applyBorder="1" applyAlignment="1">
      <alignment horizontal="right"/>
    </xf>
    <xf numFmtId="3" fontId="7" fillId="0" borderId="67" xfId="0" applyFont="1" applyFill="1" applyBorder="1"/>
    <xf numFmtId="164" fontId="9" fillId="0" borderId="76" xfId="0" applyNumberFormat="1" applyFont="1" applyBorder="1" applyAlignment="1">
      <alignment horizontal="right"/>
    </xf>
    <xf numFmtId="3" fontId="9" fillId="0" borderId="67" xfId="0" applyFont="1" applyFill="1" applyBorder="1"/>
    <xf numFmtId="164" fontId="9" fillId="0" borderId="72" xfId="0" applyNumberFormat="1" applyFont="1" applyFill="1" applyBorder="1" applyAlignment="1">
      <alignment horizontal="right" wrapText="1"/>
    </xf>
    <xf numFmtId="3" fontId="25" fillId="0" borderId="77" xfId="0" applyFont="1" applyFill="1" applyBorder="1" applyAlignment="1">
      <alignment horizontal="left"/>
    </xf>
    <xf numFmtId="164" fontId="9" fillId="0" borderId="79" xfId="0" applyNumberFormat="1" applyFont="1" applyBorder="1" applyAlignment="1">
      <alignment horizontal="right"/>
    </xf>
    <xf numFmtId="3" fontId="5" fillId="8" borderId="28" xfId="0" applyFont="1" applyFill="1" applyBorder="1" applyAlignment="1">
      <alignment horizontal="center" vertical="center" wrapText="1"/>
    </xf>
    <xf numFmtId="3" fontId="5" fillId="8" borderId="83" xfId="0" applyFont="1" applyFill="1" applyBorder="1" applyAlignment="1">
      <alignment horizontal="center" vertical="center" wrapText="1"/>
    </xf>
    <xf numFmtId="3" fontId="7" fillId="0" borderId="84" xfId="0" applyFont="1" applyFill="1" applyBorder="1"/>
    <xf numFmtId="3" fontId="5" fillId="8" borderId="85" xfId="0" applyFont="1" applyFill="1" applyBorder="1" applyAlignment="1">
      <alignment horizontal="center" vertical="center"/>
    </xf>
    <xf numFmtId="3" fontId="1" fillId="8" borderId="80" xfId="0" applyFont="1" applyFill="1" applyBorder="1" applyAlignment="1">
      <alignment horizontal="center" vertical="center" wrapText="1"/>
    </xf>
    <xf numFmtId="3" fontId="5" fillId="8" borderId="86" xfId="0" applyFont="1" applyFill="1" applyBorder="1" applyAlignment="1">
      <alignment horizontal="center"/>
    </xf>
    <xf numFmtId="3" fontId="5" fillId="8" borderId="90" xfId="0" applyFont="1" applyFill="1" applyBorder="1" applyAlignment="1">
      <alignment horizontal="center" vertical="center" wrapText="1"/>
    </xf>
    <xf numFmtId="3" fontId="9" fillId="0" borderId="67" xfId="0" applyNumberFormat="1" applyFont="1" applyFill="1" applyBorder="1"/>
    <xf numFmtId="3" fontId="9" fillId="0" borderId="77" xfId="0" applyNumberFormat="1" applyFont="1" applyFill="1" applyBorder="1"/>
    <xf numFmtId="3" fontId="0" fillId="0" borderId="65" xfId="0" applyFill="1" applyBorder="1"/>
    <xf numFmtId="3" fontId="5" fillId="8" borderId="91" xfId="0" applyFont="1" applyFill="1" applyBorder="1" applyAlignment="1">
      <alignment horizontal="center" vertical="center"/>
    </xf>
    <xf numFmtId="3" fontId="5" fillId="8" borderId="16" xfId="0" applyFont="1" applyFill="1" applyBorder="1" applyAlignment="1">
      <alignment horizontal="center" vertical="center"/>
    </xf>
    <xf numFmtId="3" fontId="5" fillId="8" borderId="92" xfId="0" applyFont="1" applyFill="1" applyBorder="1" applyAlignment="1">
      <alignment horizontal="center" vertical="center"/>
    </xf>
    <xf numFmtId="3" fontId="9" fillId="0" borderId="74" xfId="0" applyNumberFormat="1" applyFont="1" applyFill="1" applyBorder="1"/>
    <xf numFmtId="3" fontId="5" fillId="8" borderId="86" xfId="0" applyFont="1" applyFill="1" applyBorder="1" applyAlignment="1">
      <alignment horizontal="center" vertical="center"/>
    </xf>
    <xf numFmtId="164" fontId="9" fillId="0" borderId="68" xfId="0" applyNumberFormat="1" applyFont="1" applyFill="1" applyBorder="1" applyAlignment="1">
      <alignment horizontal="right"/>
    </xf>
    <xf numFmtId="164" fontId="26" fillId="0" borderId="79" xfId="0" applyNumberFormat="1" applyFont="1" applyBorder="1" applyAlignment="1">
      <alignment horizontal="right"/>
    </xf>
    <xf numFmtId="164" fontId="26" fillId="0" borderId="76" xfId="0" applyNumberFormat="1" applyFont="1" applyBorder="1" applyAlignment="1">
      <alignment horizontal="right"/>
    </xf>
    <xf numFmtId="3" fontId="17" fillId="8" borderId="81" xfId="0" applyFont="1" applyFill="1" applyBorder="1" applyAlignment="1">
      <alignment horizontal="center" vertical="center" wrapText="1"/>
    </xf>
    <xf numFmtId="3" fontId="16" fillId="8" borderId="82" xfId="0" applyFont="1" applyFill="1" applyBorder="1" applyAlignment="1">
      <alignment horizontal="center" vertical="center"/>
    </xf>
    <xf numFmtId="3" fontId="17" fillId="8" borderId="80" xfId="0" applyFont="1" applyFill="1" applyBorder="1" applyAlignment="1">
      <alignment horizontal="center" vertical="center" wrapText="1"/>
    </xf>
    <xf numFmtId="3" fontId="0" fillId="0" borderId="65" xfId="0" applyFont="1" applyFill="1" applyBorder="1"/>
    <xf numFmtId="3" fontId="0" fillId="7" borderId="65" xfId="0" applyFont="1" applyFill="1" applyBorder="1"/>
    <xf numFmtId="3" fontId="7" fillId="7" borderId="63" xfId="0" applyFont="1" applyFill="1" applyBorder="1"/>
    <xf numFmtId="3" fontId="9" fillId="0" borderId="63" xfId="0" applyNumberFormat="1" applyFont="1" applyFill="1" applyBorder="1"/>
    <xf numFmtId="3" fontId="7" fillId="7" borderId="77" xfId="0" applyFont="1" applyFill="1" applyBorder="1"/>
    <xf numFmtId="1" fontId="13" fillId="7" borderId="66" xfId="0" applyNumberFormat="1" applyFont="1" applyFill="1" applyBorder="1" applyAlignment="1">
      <alignment vertical="center" wrapText="1"/>
    </xf>
    <xf numFmtId="166" fontId="13" fillId="7" borderId="52" xfId="0" applyNumberFormat="1" applyFont="1" applyFill="1" applyBorder="1" applyAlignment="1">
      <alignment vertical="center"/>
    </xf>
    <xf numFmtId="164" fontId="13" fillId="7" borderId="53" xfId="0" applyNumberFormat="1" applyFont="1" applyFill="1" applyBorder="1" applyAlignment="1">
      <alignment vertical="center"/>
    </xf>
    <xf numFmtId="3" fontId="0" fillId="7" borderId="65" xfId="0" applyFill="1" applyBorder="1"/>
    <xf numFmtId="3" fontId="13" fillId="7" borderId="46" xfId="0" applyFont="1" applyFill="1" applyBorder="1" applyAlignment="1">
      <alignment vertical="center"/>
    </xf>
    <xf numFmtId="3" fontId="13" fillId="7" borderId="27" xfId="0" applyFont="1" applyFill="1" applyBorder="1" applyAlignment="1">
      <alignment vertical="center"/>
    </xf>
    <xf numFmtId="164" fontId="13" fillId="7" borderId="47" xfId="0" applyNumberFormat="1" applyFont="1" applyFill="1" applyBorder="1" applyAlignment="1">
      <alignment vertical="center"/>
    </xf>
    <xf numFmtId="166" fontId="13" fillId="7" borderId="66" xfId="0" applyNumberFormat="1" applyFont="1" applyFill="1" applyBorder="1" applyAlignment="1">
      <alignment vertical="center"/>
    </xf>
    <xf numFmtId="166" fontId="13" fillId="7" borderId="93" xfId="0" applyNumberFormat="1" applyFont="1" applyFill="1" applyBorder="1" applyAlignment="1">
      <alignment vertical="center"/>
    </xf>
    <xf numFmtId="166" fontId="13" fillId="7" borderId="94" xfId="0" applyNumberFormat="1" applyFont="1" applyFill="1" applyBorder="1" applyAlignment="1">
      <alignment vertical="center"/>
    </xf>
    <xf numFmtId="164" fontId="13" fillId="7" borderId="95" xfId="0" applyNumberFormat="1" applyFont="1" applyFill="1" applyBorder="1" applyAlignment="1">
      <alignment vertical="center"/>
    </xf>
    <xf numFmtId="3" fontId="7" fillId="0" borderId="74" xfId="0" applyFont="1" applyFill="1" applyBorder="1"/>
    <xf numFmtId="3" fontId="9" fillId="0" borderId="84" xfId="0" applyNumberFormat="1" applyFont="1" applyFill="1" applyBorder="1"/>
    <xf numFmtId="3" fontId="5" fillId="8" borderId="86" xfId="0" applyFont="1" applyFill="1" applyBorder="1" applyAlignment="1">
      <alignment horizontal="center" vertical="center" wrapText="1"/>
    </xf>
    <xf numFmtId="3" fontId="5" fillId="8" borderId="11" xfId="0" applyFont="1" applyFill="1" applyBorder="1" applyAlignment="1">
      <alignment horizontal="center" vertical="center" wrapText="1"/>
    </xf>
    <xf numFmtId="3" fontId="5" fillId="8" borderId="85" xfId="0" applyFont="1" applyFill="1" applyBorder="1" applyAlignment="1">
      <alignment horizontal="center" vertical="center" wrapText="1"/>
    </xf>
    <xf numFmtId="3" fontId="8" fillId="7" borderId="69" xfId="0" applyNumberFormat="1" applyFont="1" applyFill="1" applyBorder="1"/>
    <xf numFmtId="3" fontId="5" fillId="8" borderId="88" xfId="0" applyFont="1" applyFill="1" applyBorder="1" applyAlignment="1">
      <alignment horizontal="center" vertical="center" wrapText="1"/>
    </xf>
    <xf numFmtId="3" fontId="5" fillId="8" borderId="89" xfId="0" applyFont="1" applyFill="1" applyBorder="1" applyAlignment="1">
      <alignment horizontal="center" vertical="center" wrapText="1"/>
    </xf>
    <xf numFmtId="3" fontId="13" fillId="7" borderId="52" xfId="0" applyFont="1" applyFill="1" applyBorder="1" applyAlignment="1">
      <alignment vertical="center"/>
    </xf>
    <xf numFmtId="3" fontId="5" fillId="8" borderId="87" xfId="0" applyFont="1" applyFill="1" applyBorder="1" applyAlignment="1">
      <alignment horizontal="center" vertical="center" wrapText="1"/>
    </xf>
    <xf numFmtId="3" fontId="13" fillId="7" borderId="66" xfId="0" applyFont="1" applyFill="1" applyBorder="1" applyAlignment="1">
      <alignment vertical="center"/>
    </xf>
    <xf numFmtId="3" fontId="7" fillId="7" borderId="62" xfId="0" applyFont="1" applyFill="1" applyBorder="1"/>
    <xf numFmtId="164" fontId="7" fillId="7" borderId="75" xfId="0" applyNumberFormat="1" applyFont="1" applyFill="1" applyBorder="1"/>
    <xf numFmtId="164" fontId="7" fillId="7" borderId="78" xfId="0" applyNumberFormat="1" applyFont="1" applyFill="1" applyBorder="1"/>
    <xf numFmtId="3" fontId="7" fillId="7" borderId="74" xfId="0" applyFont="1" applyFill="1" applyBorder="1" applyAlignment="1">
      <alignment wrapText="1"/>
    </xf>
    <xf numFmtId="3" fontId="7" fillId="7" borderId="77" xfId="0" applyFont="1" applyFill="1" applyBorder="1" applyAlignment="1">
      <alignment wrapText="1"/>
    </xf>
    <xf numFmtId="3" fontId="7" fillId="7" borderId="74" xfId="0" applyFont="1" applyFill="1" applyBorder="1"/>
    <xf numFmtId="3" fontId="13" fillId="0" borderId="66" xfId="0" applyFont="1" applyFill="1" applyBorder="1"/>
    <xf numFmtId="3" fontId="13" fillId="7" borderId="69" xfId="0" applyFont="1" applyFill="1" applyBorder="1" applyAlignment="1">
      <alignment vertical="center"/>
    </xf>
    <xf numFmtId="1" fontId="13" fillId="7" borderId="93" xfId="0" applyNumberFormat="1" applyFont="1" applyFill="1" applyBorder="1" applyAlignment="1">
      <alignment vertical="center" wrapText="1"/>
    </xf>
    <xf numFmtId="166" fontId="13" fillId="7" borderId="95" xfId="0" applyNumberFormat="1" applyFont="1" applyFill="1" applyBorder="1" applyAlignment="1">
      <alignment vertical="center"/>
    </xf>
    <xf numFmtId="164" fontId="2" fillId="0" borderId="72" xfId="0" applyNumberFormat="1" applyFont="1" applyFill="1" applyBorder="1" applyAlignment="1">
      <alignment horizontal="left"/>
    </xf>
    <xf numFmtId="164" fontId="2" fillId="0" borderId="68" xfId="0" applyNumberFormat="1" applyFont="1" applyFill="1" applyBorder="1" applyAlignment="1">
      <alignment horizontal="left"/>
    </xf>
    <xf numFmtId="3" fontId="2" fillId="0" borderId="0" xfId="0" applyFont="1" applyFill="1" applyAlignment="1">
      <alignment horizontal="left"/>
    </xf>
    <xf numFmtId="3" fontId="7" fillId="0" borderId="61" xfId="0" applyNumberFormat="1" applyFont="1" applyFill="1" applyBorder="1"/>
    <xf numFmtId="3" fontId="20" fillId="0" borderId="69" xfId="0" applyFont="1" applyFill="1" applyBorder="1"/>
    <xf numFmtId="3" fontId="32" fillId="0" borderId="70" xfId="0" applyNumberFormat="1" applyFont="1" applyFill="1" applyBorder="1"/>
    <xf numFmtId="164" fontId="20" fillId="0" borderId="71" xfId="0" applyNumberFormat="1" applyFont="1" applyBorder="1" applyAlignment="1">
      <alignment horizontal="right"/>
    </xf>
    <xf numFmtId="3" fontId="25" fillId="0" borderId="67" xfId="0" applyFont="1" applyFill="1" applyBorder="1"/>
    <xf numFmtId="3" fontId="25" fillId="0" borderId="61" xfId="0" applyNumberFormat="1" applyFont="1" applyFill="1" applyBorder="1" applyAlignment="1">
      <alignment horizontal="left"/>
    </xf>
    <xf numFmtId="3" fontId="25" fillId="0" borderId="84" xfId="0" applyFont="1" applyFill="1" applyBorder="1"/>
    <xf numFmtId="3" fontId="25" fillId="0" borderId="84" xfId="0" applyFont="1" applyFill="1" applyBorder="1" applyAlignment="1"/>
    <xf numFmtId="3" fontId="25" fillId="0" borderId="67" xfId="0" applyNumberFormat="1" applyFont="1" applyFill="1" applyBorder="1" applyAlignment="1">
      <alignment horizontal="left"/>
    </xf>
    <xf numFmtId="3" fontId="7" fillId="0" borderId="76" xfId="0" applyNumberFormat="1" applyFont="1" applyFill="1" applyBorder="1"/>
    <xf numFmtId="3" fontId="25" fillId="0" borderId="76" xfId="0" applyNumberFormat="1" applyFont="1" applyFill="1" applyBorder="1" applyAlignment="1">
      <alignment horizontal="left"/>
    </xf>
    <xf numFmtId="3" fontId="26" fillId="0" borderId="77" xfId="0" applyNumberFormat="1" applyFont="1" applyFill="1" applyBorder="1" applyAlignment="1">
      <alignment horizontal="left"/>
    </xf>
    <xf numFmtId="3" fontId="26" fillId="0" borderId="63" xfId="0" applyNumberFormat="1" applyFont="1" applyFill="1" applyBorder="1" applyAlignment="1">
      <alignment horizontal="left"/>
    </xf>
    <xf numFmtId="164" fontId="13" fillId="0" borderId="53" xfId="0" applyNumberFormat="1" applyFont="1" applyBorder="1" applyAlignment="1">
      <alignment horizontal="right"/>
    </xf>
    <xf numFmtId="3" fontId="25" fillId="0" borderId="63" xfId="0" applyNumberFormat="1" applyFont="1" applyFill="1" applyBorder="1" applyAlignment="1">
      <alignment horizontal="left"/>
    </xf>
    <xf numFmtId="164" fontId="26" fillId="0" borderId="78" xfId="0" applyNumberFormat="1" applyFont="1" applyBorder="1" applyAlignment="1">
      <alignment horizontal="right"/>
    </xf>
    <xf numFmtId="3" fontId="25" fillId="0" borderId="77" xfId="0" applyNumberFormat="1" applyFont="1" applyFill="1" applyBorder="1" applyAlignment="1">
      <alignment horizontal="left"/>
    </xf>
    <xf numFmtId="0" fontId="20" fillId="0" borderId="5" xfId="1" applyFont="1" applyFill="1" applyBorder="1" applyAlignment="1"/>
    <xf numFmtId="0" fontId="0" fillId="0" borderId="8" xfId="2" applyFont="1" applyFill="1" applyBorder="1"/>
    <xf numFmtId="3" fontId="7" fillId="0" borderId="28" xfId="1" applyNumberFormat="1" applyFont="1" applyFill="1" applyBorder="1" applyAlignment="1">
      <alignment vertical="center"/>
    </xf>
    <xf numFmtId="164" fontId="7" fillId="0" borderId="24" xfId="0" applyNumberFormat="1" applyFont="1" applyFill="1" applyBorder="1"/>
    <xf numFmtId="0" fontId="0" fillId="0" borderId="5" xfId="2" applyFont="1" applyFill="1" applyBorder="1"/>
    <xf numFmtId="1" fontId="9" fillId="0" borderId="7" xfId="1" applyNumberFormat="1" applyFont="1" applyFill="1" applyBorder="1" applyAlignment="1">
      <alignment horizontal="left"/>
    </xf>
    <xf numFmtId="165" fontId="16" fillId="0" borderId="14" xfId="1" applyNumberFormat="1" applyFont="1" applyFill="1" applyBorder="1" applyAlignment="1">
      <alignment horizontal="center"/>
    </xf>
    <xf numFmtId="0" fontId="20" fillId="0" borderId="13" xfId="1" applyFont="1" applyFill="1" applyBorder="1"/>
    <xf numFmtId="165" fontId="21" fillId="0" borderId="16" xfId="1" applyNumberFormat="1" applyFont="1" applyFill="1" applyBorder="1" applyAlignment="1">
      <alignment horizontal="center"/>
    </xf>
    <xf numFmtId="3" fontId="16" fillId="0" borderId="6" xfId="1" applyNumberFormat="1" applyFont="1" applyFill="1" applyBorder="1" applyAlignment="1">
      <alignment horizontal="center"/>
    </xf>
    <xf numFmtId="3" fontId="16" fillId="0" borderId="14" xfId="1" applyNumberFormat="1" applyFont="1" applyFill="1" applyBorder="1" applyAlignment="1">
      <alignment horizontal="center"/>
    </xf>
    <xf numFmtId="0" fontId="26" fillId="0" borderId="5" xfId="1" applyFont="1" applyFill="1" applyBorder="1" applyAlignment="1">
      <alignment wrapText="1"/>
    </xf>
    <xf numFmtId="3" fontId="16" fillId="0" borderId="41" xfId="1" applyNumberFormat="1" applyFont="1" applyFill="1" applyBorder="1" applyAlignment="1">
      <alignment horizontal="center"/>
    </xf>
    <xf numFmtId="164" fontId="7" fillId="0" borderId="76" xfId="0" applyNumberFormat="1" applyFont="1" applyFill="1" applyBorder="1" applyAlignment="1">
      <alignment horizontal="right"/>
    </xf>
    <xf numFmtId="3" fontId="8" fillId="0" borderId="52" xfId="0" applyNumberFormat="1" applyFont="1" applyFill="1" applyBorder="1"/>
    <xf numFmtId="3" fontId="7" fillId="0" borderId="62" xfId="0" applyFont="1" applyFill="1" applyBorder="1"/>
    <xf numFmtId="3" fontId="7" fillId="0" borderId="63" xfId="0" applyFont="1" applyFill="1" applyBorder="1"/>
    <xf numFmtId="3" fontId="13" fillId="0" borderId="52" xfId="0" applyFont="1" applyFill="1" applyBorder="1" applyAlignment="1">
      <alignment vertical="center"/>
    </xf>
    <xf numFmtId="164" fontId="26" fillId="0" borderId="76" xfId="0" applyNumberFormat="1" applyFont="1" applyFill="1" applyBorder="1" applyAlignment="1">
      <alignment horizontal="right"/>
    </xf>
    <xf numFmtId="164" fontId="25" fillId="0" borderId="76" xfId="0" applyNumberFormat="1" applyFont="1" applyFill="1" applyBorder="1" applyAlignment="1">
      <alignment horizontal="left"/>
    </xf>
    <xf numFmtId="3" fontId="26" fillId="0" borderId="67" xfId="0" applyNumberFormat="1" applyFont="1" applyFill="1" applyBorder="1" applyAlignment="1">
      <alignment horizontal="left"/>
    </xf>
    <xf numFmtId="3" fontId="26" fillId="0" borderId="61" xfId="0" applyNumberFormat="1" applyFont="1" applyFill="1" applyBorder="1" applyAlignment="1">
      <alignment horizontal="left"/>
    </xf>
    <xf numFmtId="164" fontId="9" fillId="0" borderId="76" xfId="0" applyNumberFormat="1" applyFont="1" applyFill="1" applyBorder="1" applyAlignment="1">
      <alignment horizontal="right"/>
    </xf>
    <xf numFmtId="164" fontId="26" fillId="0" borderId="76" xfId="0" applyNumberFormat="1" applyFont="1" applyFill="1" applyBorder="1" applyAlignment="1">
      <alignment horizontal="left"/>
    </xf>
    <xf numFmtId="3" fontId="13" fillId="0" borderId="59" xfId="0" applyNumberFormat="1" applyFont="1" applyFill="1" applyBorder="1" applyAlignment="1">
      <alignment vertical="center"/>
    </xf>
    <xf numFmtId="164" fontId="13" fillId="0" borderId="60" xfId="0" applyNumberFormat="1" applyFont="1" applyFill="1" applyBorder="1" applyAlignment="1">
      <alignment vertical="center"/>
    </xf>
    <xf numFmtId="164" fontId="9" fillId="0" borderId="20" xfId="0" applyNumberFormat="1" applyFont="1" applyBorder="1" applyAlignment="1">
      <alignment horizontal="right"/>
    </xf>
    <xf numFmtId="164" fontId="9" fillId="0" borderId="21" xfId="0" applyNumberFormat="1" applyFont="1" applyBorder="1" applyAlignment="1">
      <alignment horizontal="right"/>
    </xf>
    <xf numFmtId="164" fontId="13" fillId="0" borderId="24" xfId="0" applyNumberFormat="1" applyFont="1" applyBorder="1" applyAlignment="1">
      <alignment horizontal="right"/>
    </xf>
    <xf numFmtId="164" fontId="13" fillId="0" borderId="23" xfId="0" applyNumberFormat="1" applyFont="1" applyBorder="1" applyAlignment="1">
      <alignment horizontal="right"/>
    </xf>
    <xf numFmtId="164" fontId="13" fillId="0" borderId="21" xfId="0" applyNumberFormat="1" applyFont="1" applyFill="1" applyBorder="1" applyAlignment="1">
      <alignment horizontal="right"/>
    </xf>
    <xf numFmtId="164" fontId="9" fillId="0" borderId="21" xfId="0" applyNumberFormat="1" applyFont="1" applyFill="1" applyBorder="1" applyAlignment="1">
      <alignment horizontal="right"/>
    </xf>
    <xf numFmtId="164" fontId="9" fillId="0" borderId="25" xfId="0" applyNumberFormat="1" applyFont="1" applyFill="1" applyBorder="1" applyAlignment="1">
      <alignment horizontal="right"/>
    </xf>
    <xf numFmtId="164" fontId="13" fillId="0" borderId="55" xfId="0" applyNumberFormat="1" applyFont="1" applyFill="1" applyBorder="1" applyAlignment="1">
      <alignment horizontal="right"/>
    </xf>
    <xf numFmtId="164" fontId="26" fillId="0" borderId="21" xfId="0" applyNumberFormat="1" applyFont="1" applyFill="1" applyBorder="1" applyAlignment="1">
      <alignment horizontal="right"/>
    </xf>
    <xf numFmtId="164" fontId="26" fillId="0" borderId="25" xfId="0" applyNumberFormat="1" applyFont="1" applyFill="1" applyBorder="1" applyAlignment="1">
      <alignment horizontal="right"/>
    </xf>
    <xf numFmtId="164" fontId="13" fillId="0" borderId="24" xfId="0" applyNumberFormat="1" applyFont="1" applyFill="1" applyBorder="1" applyAlignment="1">
      <alignment horizontal="right"/>
    </xf>
    <xf numFmtId="164" fontId="13" fillId="0" borderId="23" xfId="0" applyNumberFormat="1" applyFont="1" applyFill="1" applyBorder="1" applyAlignment="1">
      <alignment horizontal="right"/>
    </xf>
    <xf numFmtId="164" fontId="9" fillId="0" borderId="21" xfId="0" applyNumberFormat="1" applyFont="1" applyBorder="1" applyAlignment="1">
      <alignment horizontal="right" vertical="top"/>
    </xf>
    <xf numFmtId="164" fontId="9" fillId="0" borderId="25" xfId="0" applyNumberFormat="1" applyFont="1" applyBorder="1" applyAlignment="1">
      <alignment horizontal="right" vertical="top"/>
    </xf>
    <xf numFmtId="164" fontId="13" fillId="0" borderId="22" xfId="0" applyNumberFormat="1" applyFont="1" applyBorder="1" applyAlignment="1">
      <alignment horizontal="right"/>
    </xf>
    <xf numFmtId="164" fontId="8" fillId="0" borderId="33" xfId="0" applyNumberFormat="1" applyFont="1" applyFill="1" applyBorder="1" applyAlignment="1">
      <alignment horizontal="right"/>
    </xf>
    <xf numFmtId="164" fontId="8" fillId="0" borderId="34" xfId="0" applyNumberFormat="1" applyFont="1" applyFill="1" applyBorder="1" applyAlignment="1">
      <alignment horizontal="right"/>
    </xf>
    <xf numFmtId="3" fontId="7" fillId="0" borderId="6" xfId="1" applyNumberFormat="1" applyFont="1" applyFill="1" applyBorder="1" applyProtection="1">
      <protection locked="0"/>
    </xf>
    <xf numFmtId="3" fontId="7" fillId="0" borderId="9" xfId="1" applyNumberFormat="1" applyFont="1" applyFill="1" applyBorder="1" applyProtection="1">
      <protection locked="0"/>
    </xf>
    <xf numFmtId="3" fontId="25" fillId="0" borderId="6" xfId="1" applyNumberFormat="1" applyFont="1" applyFill="1" applyBorder="1" applyAlignment="1">
      <alignment vertical="top"/>
    </xf>
    <xf numFmtId="164" fontId="9" fillId="0" borderId="21" xfId="0" applyNumberFormat="1" applyFont="1" applyFill="1" applyBorder="1" applyAlignment="1">
      <alignment horizontal="right" vertical="top"/>
    </xf>
    <xf numFmtId="3" fontId="7" fillId="0" borderId="18" xfId="1" applyNumberFormat="1" applyFont="1" applyFill="1" applyBorder="1"/>
    <xf numFmtId="164" fontId="9" fillId="0" borderId="22" xfId="0" applyNumberFormat="1" applyFont="1" applyFill="1" applyBorder="1" applyAlignment="1">
      <alignment horizontal="right"/>
    </xf>
    <xf numFmtId="164" fontId="9" fillId="0" borderId="78" xfId="0" applyNumberFormat="1" applyFont="1" applyFill="1" applyBorder="1" applyAlignment="1">
      <alignment horizontal="right"/>
    </xf>
    <xf numFmtId="3" fontId="7" fillId="0" borderId="77" xfId="0" applyFont="1" applyFill="1" applyBorder="1"/>
    <xf numFmtId="0" fontId="20" fillId="0" borderId="56" xfId="1" applyFont="1" applyBorder="1"/>
    <xf numFmtId="3" fontId="21" fillId="0" borderId="28" xfId="1" applyNumberFormat="1" applyFont="1" applyBorder="1" applyAlignment="1">
      <alignment horizontal="center"/>
    </xf>
    <xf numFmtId="164" fontId="62" fillId="0" borderId="0" xfId="1" applyNumberFormat="1" applyFont="1"/>
    <xf numFmtId="4" fontId="20" fillId="0" borderId="0" xfId="1" applyNumberFormat="1" applyFont="1"/>
    <xf numFmtId="4" fontId="16" fillId="0" borderId="0" xfId="1" applyNumberFormat="1"/>
    <xf numFmtId="0" fontId="16" fillId="0" borderId="0" xfId="1"/>
    <xf numFmtId="0" fontId="21" fillId="0" borderId="0" xfId="1" applyFont="1"/>
    <xf numFmtId="4" fontId="21" fillId="0" borderId="0" xfId="1" applyNumberFormat="1" applyFont="1"/>
    <xf numFmtId="3" fontId="20" fillId="0" borderId="28" xfId="1" applyNumberFormat="1" applyFont="1" applyFill="1" applyBorder="1"/>
    <xf numFmtId="3" fontId="7" fillId="0" borderId="64" xfId="0" applyNumberFormat="1" applyFont="1" applyFill="1" applyBorder="1"/>
    <xf numFmtId="164" fontId="7" fillId="0" borderId="79" xfId="0" applyNumberFormat="1" applyFont="1" applyFill="1" applyBorder="1" applyAlignment="1">
      <alignment horizontal="right"/>
    </xf>
    <xf numFmtId="3" fontId="7" fillId="0" borderId="74" xfId="0" applyNumberFormat="1" applyFont="1" applyFill="1" applyBorder="1"/>
    <xf numFmtId="3" fontId="7" fillId="0" borderId="62" xfId="0" applyNumberFormat="1" applyFont="1" applyFill="1" applyBorder="1"/>
    <xf numFmtId="164" fontId="7" fillId="0" borderId="75" xfId="0" applyNumberFormat="1" applyFont="1" applyFill="1" applyBorder="1" applyAlignment="1">
      <alignment horizontal="right"/>
    </xf>
    <xf numFmtId="3" fontId="25" fillId="0" borderId="64" xfId="0" applyNumberFormat="1" applyFont="1" applyFill="1" applyBorder="1" applyAlignment="1">
      <alignment horizontal="left"/>
    </xf>
    <xf numFmtId="164" fontId="25" fillId="0" borderId="79" xfId="0" applyNumberFormat="1" applyFont="1" applyFill="1" applyBorder="1" applyAlignment="1">
      <alignment horizontal="right"/>
    </xf>
    <xf numFmtId="3" fontId="7" fillId="0" borderId="67" xfId="0" applyNumberFormat="1" applyFont="1" applyFill="1" applyBorder="1"/>
    <xf numFmtId="3" fontId="1" fillId="0" borderId="80" xfId="0" applyFont="1" applyFill="1" applyBorder="1" applyAlignment="1">
      <alignment horizontal="center"/>
    </xf>
    <xf numFmtId="3" fontId="1" fillId="0" borderId="81" xfId="0" applyFont="1" applyFill="1" applyBorder="1" applyAlignment="1">
      <alignment horizontal="center"/>
    </xf>
    <xf numFmtId="3" fontId="1" fillId="0" borderId="82" xfId="0" applyFont="1" applyFill="1" applyBorder="1" applyAlignment="1">
      <alignment horizontal="center"/>
    </xf>
    <xf numFmtId="3" fontId="1" fillId="0" borderId="87" xfId="0" applyFont="1" applyFill="1" applyBorder="1" applyAlignment="1">
      <alignment horizontal="center" vertical="center"/>
    </xf>
    <xf numFmtId="3" fontId="1" fillId="0" borderId="88" xfId="0" applyFont="1" applyFill="1" applyBorder="1" applyAlignment="1">
      <alignment horizontal="center" vertical="center"/>
    </xf>
    <xf numFmtId="3" fontId="1" fillId="0" borderId="89" xfId="0" applyFont="1" applyFill="1" applyBorder="1" applyAlignment="1">
      <alignment horizontal="center" vertical="center"/>
    </xf>
    <xf numFmtId="1" fontId="7" fillId="0" borderId="0" xfId="0" applyNumberFormat="1" applyFont="1" applyFill="1" applyAlignment="1">
      <alignment horizontal="justify" wrapText="1"/>
    </xf>
    <xf numFmtId="3" fontId="1" fillId="0" borderId="80" xfId="0" applyFont="1" applyFill="1" applyBorder="1" applyAlignment="1">
      <alignment horizontal="center" vertical="center"/>
    </xf>
    <xf numFmtId="3" fontId="1" fillId="0" borderId="81" xfId="0" applyFont="1" applyFill="1" applyBorder="1" applyAlignment="1">
      <alignment horizontal="center" vertical="center"/>
    </xf>
    <xf numFmtId="3" fontId="1" fillId="0" borderId="82" xfId="0" applyFont="1" applyFill="1" applyBorder="1" applyAlignment="1">
      <alignment horizontal="center" vertical="center"/>
    </xf>
    <xf numFmtId="3" fontId="0" fillId="0" borderId="0" xfId="0" applyFont="1" applyFill="1" applyAlignment="1">
      <alignment wrapText="1"/>
    </xf>
    <xf numFmtId="3" fontId="6" fillId="0" borderId="0" xfId="0" applyFont="1" applyFill="1"/>
    <xf numFmtId="1" fontId="9" fillId="0" borderId="36" xfId="1" applyNumberFormat="1" applyFont="1" applyFill="1" applyBorder="1" applyAlignment="1">
      <alignment horizontal="left" vertical="center"/>
    </xf>
    <xf numFmtId="1" fontId="9" fillId="0" borderId="37" xfId="1" applyNumberFormat="1" applyFont="1" applyFill="1" applyBorder="1" applyAlignment="1">
      <alignment horizontal="left" vertical="center"/>
    </xf>
    <xf numFmtId="0" fontId="30" fillId="0" borderId="36" xfId="1" applyFont="1" applyFill="1" applyBorder="1" applyAlignment="1"/>
    <xf numFmtId="0" fontId="30" fillId="0" borderId="37" xfId="1" applyFont="1" applyFill="1" applyBorder="1" applyAlignment="1"/>
    <xf numFmtId="0" fontId="18" fillId="0" borderId="0" xfId="1" applyFont="1" applyFill="1" applyAlignment="1">
      <alignment horizontal="left"/>
    </xf>
    <xf numFmtId="0" fontId="16" fillId="0" borderId="0" xfId="1" applyFont="1" applyFill="1" applyAlignment="1">
      <alignment horizontal="left"/>
    </xf>
    <xf numFmtId="0" fontId="18" fillId="0" borderId="0" xfId="1" applyFont="1" applyFill="1" applyAlignment="1">
      <alignment horizontal="center"/>
    </xf>
    <xf numFmtId="1" fontId="12" fillId="0" borderId="54" xfId="0" applyNumberFormat="1" applyFont="1" applyFill="1" applyBorder="1" applyAlignment="1">
      <alignment horizontal="left" wrapText="1"/>
    </xf>
    <xf numFmtId="3" fontId="0" fillId="0" borderId="18" xfId="0" applyFill="1" applyBorder="1" applyAlignment="1">
      <alignment wrapText="1"/>
    </xf>
    <xf numFmtId="1" fontId="13" fillId="7" borderId="58" xfId="0" applyNumberFormat="1" applyFont="1" applyFill="1" applyBorder="1" applyAlignment="1">
      <alignment horizontal="left" vertical="center" wrapText="1"/>
    </xf>
    <xf numFmtId="3" fontId="9" fillId="7" borderId="59" xfId="0" applyFont="1" applyFill="1" applyBorder="1" applyAlignment="1">
      <alignment vertical="center"/>
    </xf>
    <xf numFmtId="3" fontId="17" fillId="8" borderId="40" xfId="0" applyFont="1" applyFill="1" applyBorder="1" applyAlignment="1">
      <alignment horizontal="center" vertical="center" wrapText="1"/>
    </xf>
    <xf numFmtId="3" fontId="0" fillId="8" borderId="39" xfId="0" applyFill="1" applyBorder="1" applyAlignment="1">
      <alignment wrapText="1"/>
    </xf>
    <xf numFmtId="3" fontId="7" fillId="7" borderId="31" xfId="0" applyFont="1" applyFill="1" applyBorder="1" applyAlignment="1">
      <alignment wrapText="1"/>
    </xf>
    <xf numFmtId="3" fontId="0" fillId="7" borderId="29" xfId="0" applyFill="1" applyBorder="1" applyAlignment="1">
      <alignment wrapText="1"/>
    </xf>
    <xf numFmtId="3" fontId="7" fillId="7" borderId="7" xfId="0" applyFont="1" applyFill="1" applyBorder="1" applyAlignment="1">
      <alignment wrapText="1"/>
    </xf>
    <xf numFmtId="3" fontId="0" fillId="7" borderId="14" xfId="0" applyFill="1" applyBorder="1" applyAlignment="1">
      <alignment wrapText="1"/>
    </xf>
    <xf numFmtId="3" fontId="7" fillId="7" borderId="5" xfId="0" applyFont="1" applyFill="1" applyBorder="1" applyAlignment="1">
      <alignment wrapText="1"/>
    </xf>
    <xf numFmtId="3" fontId="0" fillId="7" borderId="6" xfId="0" applyFill="1" applyBorder="1" applyAlignment="1">
      <alignment wrapText="1"/>
    </xf>
    <xf numFmtId="1" fontId="5" fillId="8" borderId="17" xfId="0" applyNumberFormat="1" applyFont="1" applyFill="1" applyBorder="1" applyAlignment="1">
      <alignment horizontal="center"/>
    </xf>
    <xf numFmtId="3" fontId="5" fillId="8" borderId="38" xfId="0" applyFont="1" applyFill="1" applyBorder="1" applyAlignment="1">
      <alignment horizontal="center"/>
    </xf>
    <xf numFmtId="3" fontId="5" fillId="8" borderId="42" xfId="0" applyFont="1" applyFill="1" applyBorder="1" applyAlignment="1">
      <alignment horizontal="center"/>
    </xf>
    <xf numFmtId="1" fontId="45" fillId="0" borderId="0" xfId="0" applyNumberFormat="1" applyFont="1" applyFill="1" applyAlignment="1">
      <alignment horizontal="left"/>
    </xf>
    <xf numFmtId="3" fontId="0" fillId="0" borderId="38" xfId="0" applyFont="1" applyFill="1" applyBorder="1" applyAlignment="1">
      <alignment horizontal="right"/>
    </xf>
    <xf numFmtId="0" fontId="16" fillId="0" borderId="0" xfId="1" applyFill="1" applyAlignment="1">
      <alignment horizontal="left"/>
    </xf>
    <xf numFmtId="1" fontId="4" fillId="0" borderId="0" xfId="1" applyNumberFormat="1" applyFont="1" applyFill="1" applyBorder="1" applyAlignment="1">
      <alignment horizontal="left" vertical="top" wrapText="1"/>
    </xf>
    <xf numFmtId="3" fontId="0" fillId="0" borderId="0" xfId="0" applyBorder="1" applyAlignment="1">
      <alignment vertical="top" wrapText="1"/>
    </xf>
    <xf numFmtId="0" fontId="10" fillId="0" borderId="0" xfId="1" applyFont="1" applyFill="1" applyBorder="1" applyAlignment="1">
      <alignment wrapText="1"/>
    </xf>
    <xf numFmtId="1" fontId="5" fillId="0" borderId="17" xfId="0" applyNumberFormat="1" applyFont="1" applyFill="1" applyBorder="1" applyAlignment="1">
      <alignment horizontal="center"/>
    </xf>
    <xf numFmtId="3" fontId="5" fillId="0" borderId="38" xfId="0" applyFont="1" applyBorder="1" applyAlignment="1">
      <alignment horizontal="center"/>
    </xf>
    <xf numFmtId="3" fontId="5" fillId="0" borderId="42" xfId="0" applyFont="1" applyBorder="1" applyAlignment="1">
      <alignment horizontal="center"/>
    </xf>
  </cellXfs>
  <cellStyles count="4">
    <cellStyle name="Normální" xfId="0" builtinId="0"/>
    <cellStyle name="Normální 2 2" xfId="2" xr:uid="{00000000-0005-0000-0000-000001000000}"/>
    <cellStyle name="normální_Kopie - 8. - Závěrečný účet 2009 - Příloha č. 3 (výdaje)" xfId="1" xr:uid="{00000000-0005-0000-0000-000002000000}"/>
    <cellStyle name="Procenta" xfId="3" builtinId="5"/>
  </cellStyles>
  <dxfs count="0"/>
  <tableStyles count="0" defaultTableStyle="TableStyleMedium2" defaultPivotStyle="PivotStyleLight16"/>
  <colors>
    <mruColors>
      <color rgb="FF33CC33"/>
      <color rgb="FFCCFFFF"/>
      <color rgb="FF66FF66"/>
      <color rgb="FF66FF33"/>
      <color rgb="FFCC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Rekapitulace příjmů a výdajů (po konsolidaci)</a:t>
            </a:r>
          </a:p>
        </c:rich>
      </c:tx>
      <c:layout>
        <c:manualLayout>
          <c:xMode val="edge"/>
          <c:yMode val="edge"/>
          <c:x val="0.22934380139969646"/>
          <c:y val="3.370793185412913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349533029290513"/>
          <c:y val="0.18258426966292135"/>
          <c:w val="0.62429963520337617"/>
          <c:h val="0.50280898876404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List2!$A$4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chemeClr val="tx2">
                  <a:lumMod val="50000"/>
                </a:schemeClr>
              </a:fgClr>
              <a:bgClr>
                <a:schemeClr val="bg1"/>
              </a:bgClr>
            </a:patt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'Rekapitulace OK - příloha č. 2'!$A$7:$A$8</c:f>
              <c:strCache>
                <c:ptCount val="2"/>
                <c:pt idx="0">
                  <c:v>Příjmy Olomouckého kraje po konsolidaci celkem</c:v>
                </c:pt>
                <c:pt idx="1">
                  <c:v>Výdaje Olomouckého kraje po konsolidaci celkem</c:v>
                </c:pt>
              </c:strCache>
            </c:strRef>
          </c:cat>
          <c:val>
            <c:numRef>
              <c:f>List2!$B$4:$C$4</c:f>
              <c:numCache>
                <c:formatCode>#,##0</c:formatCode>
                <c:ptCount val="2"/>
                <c:pt idx="0">
                  <c:v>23512338</c:v>
                </c:pt>
                <c:pt idx="1">
                  <c:v>25188381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F0-4E63-B025-57A6A93568A4}"/>
            </c:ext>
          </c:extLst>
        </c:ser>
        <c:ser>
          <c:idx val="1"/>
          <c:order val="1"/>
          <c:tx>
            <c:strRef>
              <c:f>List2!$A$5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val="FF0000"/>
              </a:fgClr>
              <a:bgClr>
                <a:schemeClr val="bg1"/>
              </a:bgClr>
            </a:patt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'Rekapitulace OK - příloha č. 2'!$A$7:$A$8</c:f>
              <c:strCache>
                <c:ptCount val="2"/>
                <c:pt idx="0">
                  <c:v>Příjmy Olomouckého kraje po konsolidaci celkem</c:v>
                </c:pt>
                <c:pt idx="1">
                  <c:v>Výdaje Olomouckého kraje po konsolidaci celkem</c:v>
                </c:pt>
              </c:strCache>
            </c:strRef>
          </c:cat>
          <c:val>
            <c:numRef>
              <c:f>List2!$B$5:$C$5</c:f>
              <c:numCache>
                <c:formatCode>#,##0</c:formatCode>
                <c:ptCount val="2"/>
                <c:pt idx="0">
                  <c:v>23849137</c:v>
                </c:pt>
                <c:pt idx="1">
                  <c:v>26168465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F0-4E63-B025-57A6A93568A4}"/>
            </c:ext>
          </c:extLst>
        </c:ser>
        <c:ser>
          <c:idx val="2"/>
          <c:order val="2"/>
          <c:tx>
            <c:strRef>
              <c:f>List2!$A$6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val="00B050"/>
              </a:fgClr>
              <a:bgClr>
                <a:schemeClr val="bg1"/>
              </a:bgClr>
            </a:patt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'Rekapitulace OK - příloha č. 2'!$A$7:$A$8</c:f>
              <c:strCache>
                <c:ptCount val="2"/>
                <c:pt idx="0">
                  <c:v>Příjmy Olomouckého kraje po konsolidaci celkem</c:v>
                </c:pt>
                <c:pt idx="1">
                  <c:v>Výdaje Olomouckého kraje po konsolidaci celkem</c:v>
                </c:pt>
              </c:strCache>
            </c:strRef>
          </c:cat>
          <c:val>
            <c:numRef>
              <c:f>List2!$B$6:$C$6</c:f>
              <c:numCache>
                <c:formatCode>#,##0</c:formatCode>
                <c:ptCount val="2"/>
                <c:pt idx="0">
                  <c:v>8252830</c:v>
                </c:pt>
                <c:pt idx="1">
                  <c:v>6118193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F0-4E63-B025-57A6A93568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99740288"/>
        <c:axId val="99561856"/>
      </c:barChart>
      <c:catAx>
        <c:axId val="99740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99561856"/>
        <c:crosses val="autoZero"/>
        <c:auto val="1"/>
        <c:lblAlgn val="ctr"/>
        <c:lblOffset val="100"/>
        <c:tickMarkSkip val="1"/>
        <c:noMultiLvlLbl val="0"/>
      </c:catAx>
      <c:valAx>
        <c:axId val="99561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2.9906475594294029E-2"/>
              <c:y val="0.2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9974028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 alignWithMargins="0">
      <c:oddHeader>&amp;C&amp;"Arial CE,Kurzíva"&amp;8Příloha č. 2 - Plnění rozpočtu výdajů Olomouckého kraje k 31.5.2013</c:oddHeader>
      <c:oddFooter>&amp;L&amp;"Arial CE,Kurzíva"Rada Olomouckého kraje 18-06-2015
x.x.-Rozpočet Olomouckého kraje 2015-plnění rozpočtu k 31. 5. 2015
Příloha č.2-Plnění rozpočtu výdajů Olomouckého kraje k 31. 5. 2015&amp;R&amp;"Arial CE,Kurzíva"Strana &amp;P (Celkem 7)
</c:oddFooter>
    </c:headerFooter>
    <c:pageMargins b="0.78740157480314965" l="0.78740157480314965" r="0.78740157480314965" t="0.78740157480314965" header="0.51181102362204722" footer="0.51181102362204722"/>
    <c:pageSetup paperSize="9"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/>
              <a:t>Rekapitulace vlastních příjmů a výdajů (po konsolidaci)</a:t>
            </a:r>
          </a:p>
        </c:rich>
      </c:tx>
      <c:layout>
        <c:manualLayout>
          <c:xMode val="edge"/>
          <c:yMode val="edge"/>
          <c:x val="0.13877572446301353"/>
          <c:y val="3.55029585798816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4489830287219275"/>
          <c:y val="0.18343195266272189"/>
          <c:w val="0.62653123657848031"/>
          <c:h val="0.508875739644970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List2!$A$4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List2!$B$4:$C$4</c:f>
              <c:numCache>
                <c:formatCode>#,##0</c:formatCode>
                <c:ptCount val="2"/>
                <c:pt idx="0">
                  <c:v>23512338</c:v>
                </c:pt>
                <c:pt idx="1">
                  <c:v>25188381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7-4718-B8FE-FAA54184AF3B}"/>
            </c:ext>
          </c:extLst>
        </c:ser>
        <c:ser>
          <c:idx val="1"/>
          <c:order val="1"/>
          <c:tx>
            <c:strRef>
              <c:f>List2!$A$5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List2!$B$5:$C$5</c:f>
              <c:numCache>
                <c:formatCode>#,##0</c:formatCode>
                <c:ptCount val="2"/>
                <c:pt idx="0">
                  <c:v>23849137</c:v>
                </c:pt>
                <c:pt idx="1">
                  <c:v>26168465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87-4718-B8FE-FAA54184AF3B}"/>
            </c:ext>
          </c:extLst>
        </c:ser>
        <c:ser>
          <c:idx val="2"/>
          <c:order val="2"/>
          <c:tx>
            <c:strRef>
              <c:f>List2!$A$6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List2!$B$6:$C$6</c:f>
              <c:numCache>
                <c:formatCode>#,##0</c:formatCode>
                <c:ptCount val="2"/>
                <c:pt idx="0">
                  <c:v>8252830</c:v>
                </c:pt>
                <c:pt idx="1">
                  <c:v>6118193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C87-4718-B8FE-FAA54184AF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751872"/>
        <c:axId val="104753408"/>
      </c:barChart>
      <c:catAx>
        <c:axId val="104751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04753408"/>
        <c:crosses val="autoZero"/>
        <c:auto val="1"/>
        <c:lblAlgn val="ctr"/>
        <c:lblOffset val="100"/>
        <c:tickMarkSkip val="1"/>
        <c:noMultiLvlLbl val="0"/>
      </c:catAx>
      <c:valAx>
        <c:axId val="1047534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3.2653061224489799E-2"/>
              <c:y val="0.245562130177514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0475187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/>
              <a:t>Rekapitulace příjmů a výdajů Olomouckého kraje celkem (po konsolidaci)</a:t>
            </a:r>
          </a:p>
        </c:rich>
      </c:tx>
      <c:layout>
        <c:manualLayout>
          <c:xMode val="edge"/>
          <c:yMode val="edge"/>
          <c:x val="0.15075394470163592"/>
          <c:y val="3.1100478468899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2663370013102644"/>
          <c:y val="0.15789492128499888"/>
          <c:w val="0.64991731102993977"/>
          <c:h val="0.564593960958480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List2!$A$33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List2!$B$33:$C$33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7D-40E5-ABB0-ACE6C34BF277}"/>
            </c:ext>
          </c:extLst>
        </c:ser>
        <c:ser>
          <c:idx val="1"/>
          <c:order val="1"/>
          <c:tx>
            <c:strRef>
              <c:f>List2!$A$34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List2!$B$34:$C$34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47D-40E5-ABB0-ACE6C34BF277}"/>
            </c:ext>
          </c:extLst>
        </c:ser>
        <c:ser>
          <c:idx val="2"/>
          <c:order val="2"/>
          <c:tx>
            <c:strRef>
              <c:f>List2!$A$35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List2!$B$35:$C$35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47D-40E5-ABB0-ACE6C34BF2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028224"/>
        <c:axId val="103029760"/>
      </c:barChart>
      <c:catAx>
        <c:axId val="103028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03029760"/>
        <c:crosses val="autoZero"/>
        <c:auto val="1"/>
        <c:lblAlgn val="ctr"/>
        <c:lblOffset val="100"/>
        <c:tickMarkSkip val="1"/>
        <c:noMultiLvlLbl val="0"/>
      </c:catAx>
      <c:valAx>
        <c:axId val="1030297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2.6800670016750419E-2"/>
              <c:y val="0.2846892463800876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0302822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/>
              <a:t>Rekapitulace vlastních příjmů a výdajů (po konsolidaci)</a:t>
            </a:r>
          </a:p>
        </c:rich>
      </c:tx>
      <c:layout>
        <c:manualLayout>
          <c:xMode val="edge"/>
          <c:yMode val="edge"/>
          <c:x val="0.13644887971891215"/>
          <c:y val="3.370786516853932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49533029290513"/>
          <c:y val="0.18258426966292135"/>
          <c:w val="0.62429963520337617"/>
          <c:h val="0.50280898876404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List2!$A$4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List2!$B$4:$C$4</c:f>
              <c:numCache>
                <c:formatCode>#,##0</c:formatCode>
                <c:ptCount val="2"/>
                <c:pt idx="0">
                  <c:v>23512338</c:v>
                </c:pt>
                <c:pt idx="1">
                  <c:v>25188381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A3-4D79-94CB-FBC8E9504FE1}"/>
            </c:ext>
          </c:extLst>
        </c:ser>
        <c:ser>
          <c:idx val="1"/>
          <c:order val="1"/>
          <c:tx>
            <c:strRef>
              <c:f>List2!$A$5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List2!$B$5:$C$5</c:f>
              <c:numCache>
                <c:formatCode>#,##0</c:formatCode>
                <c:ptCount val="2"/>
                <c:pt idx="0">
                  <c:v>23849137</c:v>
                </c:pt>
                <c:pt idx="1">
                  <c:v>26168465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A3-4D79-94CB-FBC8E9504FE1}"/>
            </c:ext>
          </c:extLst>
        </c:ser>
        <c:ser>
          <c:idx val="2"/>
          <c:order val="2"/>
          <c:tx>
            <c:strRef>
              <c:f>List2!$A$6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List2!$B$6:$C$6</c:f>
              <c:numCache>
                <c:formatCode>#,##0</c:formatCode>
                <c:ptCount val="2"/>
                <c:pt idx="0">
                  <c:v>8252830</c:v>
                </c:pt>
                <c:pt idx="1">
                  <c:v>6118193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FA3-4D79-94CB-FBC8E9504F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144704"/>
        <c:axId val="105146240"/>
      </c:barChart>
      <c:catAx>
        <c:axId val="105144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05146240"/>
        <c:crosses val="autoZero"/>
        <c:auto val="1"/>
        <c:lblAlgn val="ctr"/>
        <c:lblOffset val="100"/>
        <c:tickMarkSkip val="1"/>
        <c:noMultiLvlLbl val="0"/>
      </c:catAx>
      <c:valAx>
        <c:axId val="1051462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2.9906475594294029E-2"/>
              <c:y val="0.2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0514470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78740157480314965" l="0.78740157480314965" r="0.78740157480314965" t="0.78740157480314965" header="0.51181102362204722" footer="0.51181102362204722"/>
    <c:pageSetup paperSize="9"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900" baseline="0"/>
              <a:t>Rekapitulace příjmů a výdajů Olomouckého kraje celkem (po konsolidaci)</a:t>
            </a:r>
          </a:p>
        </c:rich>
      </c:tx>
      <c:layout>
        <c:manualLayout>
          <c:xMode val="edge"/>
          <c:yMode val="edge"/>
          <c:x val="7.7054794520547948E-2"/>
          <c:y val="1.011650110493681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8253424657534248"/>
          <c:y val="0.10638311687468427"/>
          <c:w val="0.6404109589041096"/>
          <c:h val="0.523936850607820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List2!$A$33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List2!$B$33:$C$33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A4-4C34-864D-29A076F46441}"/>
            </c:ext>
          </c:extLst>
        </c:ser>
        <c:ser>
          <c:idx val="1"/>
          <c:order val="1"/>
          <c:tx>
            <c:strRef>
              <c:f>List2!$A$34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List2!$B$34:$C$34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DA4-4C34-864D-29A076F46441}"/>
            </c:ext>
          </c:extLst>
        </c:ser>
        <c:ser>
          <c:idx val="2"/>
          <c:order val="2"/>
          <c:tx>
            <c:strRef>
              <c:f>List2!$A$35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List2!$B$35:$C$35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DA4-4C34-864D-29A076F464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992768"/>
        <c:axId val="104994304"/>
      </c:barChart>
      <c:catAx>
        <c:axId val="104992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04994304"/>
        <c:crosses val="autoZero"/>
        <c:auto val="1"/>
        <c:lblAlgn val="ctr"/>
        <c:lblOffset val="100"/>
        <c:tickMarkSkip val="1"/>
        <c:noMultiLvlLbl val="0"/>
      </c:catAx>
      <c:valAx>
        <c:axId val="1049943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8.5615937352093285E-3"/>
              <c:y val="0.194149215390629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0499276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>
      <c:oddFooter>&amp;L&amp;"Arial CE,Kurzíva"Rada Olomouckého kraje 22-11-2011
4.3.-Rozpočet Olomouckého kraje 2011-plnění rozpočtu k 31. 10. 2011
Příloha č.2-Plnění rozpočtu výdajů Olomouckého kraje k 31. 10. 2011&amp;R&amp;"Arial CE,Kurzíva"Strana &amp;P (Celkem 6)
</c:oddFooter>
    </c:headerFooter>
    <c:pageMargins b="0.984251969" l="0.78740157499999996" r="0.78740157499999996" t="0.984251969" header="0.4921259845" footer="0.4921259845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147204</xdr:colOff>
      <xdr:row>13</xdr:row>
      <xdr:rowOff>86591</xdr:rowOff>
    </xdr:from>
    <xdr:to>
      <xdr:col>7</xdr:col>
      <xdr:colOff>303067</xdr:colOff>
      <xdr:row>38</xdr:row>
      <xdr:rowOff>17318</xdr:rowOff>
    </xdr:to>
    <xdr:graphicFrame macro="">
      <xdr:nvGraphicFramePr>
        <xdr:cNvPr id="4874" name="graf 2">
          <a:extLst>
            <a:ext uri="{FF2B5EF4-FFF2-40B4-BE49-F238E27FC236}">
              <a16:creationId xmlns:a16="http://schemas.microsoft.com/office/drawing/2014/main" id="{00000000-0008-0000-0400-00000A13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561975</xdr:colOff>
      <xdr:row>7</xdr:row>
      <xdr:rowOff>0</xdr:rowOff>
    </xdr:from>
    <xdr:to>
      <xdr:col>5</xdr:col>
      <xdr:colOff>228600</xdr:colOff>
      <xdr:row>26</xdr:row>
      <xdr:rowOff>142875</xdr:rowOff>
    </xdr:to>
    <xdr:graphicFrame macro="">
      <xdr:nvGraphicFramePr>
        <xdr:cNvPr id="5899" name="graf 3">
          <a:extLst>
            <a:ext uri="{FF2B5EF4-FFF2-40B4-BE49-F238E27FC236}">
              <a16:creationId xmlns:a16="http://schemas.microsoft.com/office/drawing/2014/main" id="{00000000-0008-0000-0600-00000B17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37</xdr:row>
      <xdr:rowOff>47625</xdr:rowOff>
    </xdr:from>
    <xdr:to>
      <xdr:col>6</xdr:col>
      <xdr:colOff>209550</xdr:colOff>
      <xdr:row>61</xdr:row>
      <xdr:rowOff>142875</xdr:rowOff>
    </xdr:to>
    <xdr:graphicFrame macro="">
      <xdr:nvGraphicFramePr>
        <xdr:cNvPr id="5900" name="graf 4">
          <a:extLst>
            <a:ext uri="{FF2B5EF4-FFF2-40B4-BE49-F238E27FC236}">
              <a16:creationId xmlns:a16="http://schemas.microsoft.com/office/drawing/2014/main" id="{00000000-0008-0000-0600-00000C17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11</xdr:row>
      <xdr:rowOff>85725</xdr:rowOff>
    </xdr:from>
    <xdr:to>
      <xdr:col>5</xdr:col>
      <xdr:colOff>809625</xdr:colOff>
      <xdr:row>32</xdr:row>
      <xdr:rowOff>85725</xdr:rowOff>
    </xdr:to>
    <xdr:graphicFrame macro="">
      <xdr:nvGraphicFramePr>
        <xdr:cNvPr id="2" name="graf 2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44</xdr:row>
      <xdr:rowOff>19049</xdr:rowOff>
    </xdr:from>
    <xdr:to>
      <xdr:col>6</xdr:col>
      <xdr:colOff>219075</xdr:colOff>
      <xdr:row>65</xdr:row>
      <xdr:rowOff>114299</xdr:rowOff>
    </xdr:to>
    <xdr:graphicFrame macro="">
      <xdr:nvGraphicFramePr>
        <xdr:cNvPr id="3" name="graf 3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O58"/>
  <sheetViews>
    <sheetView showGridLines="0" tabSelected="1" view="pageBreakPreview" zoomScale="110" zoomScaleNormal="100" zoomScaleSheetLayoutView="110" workbookViewId="0">
      <selection activeCell="M43" sqref="M43"/>
    </sheetView>
  </sheetViews>
  <sheetFormatPr defaultColWidth="9.140625" defaultRowHeight="12.75" x14ac:dyDescent="0.2"/>
  <cols>
    <col min="1" max="1" width="50.7109375" style="1" customWidth="1"/>
    <col min="2" max="2" width="15.7109375" style="1" customWidth="1"/>
    <col min="3" max="3" width="15.7109375" style="166" customWidth="1"/>
    <col min="4" max="4" width="12.7109375" style="166" customWidth="1"/>
    <col min="5" max="5" width="6.5703125" style="1" customWidth="1"/>
    <col min="6" max="6" width="2.5703125" style="1" customWidth="1"/>
    <col min="7" max="8" width="15.7109375" style="1" customWidth="1"/>
    <col min="9" max="9" width="12.7109375" style="1" customWidth="1"/>
    <col min="10" max="10" width="5.7109375" style="1" customWidth="1"/>
    <col min="11" max="11" width="2.140625" style="1" customWidth="1"/>
    <col min="12" max="13" width="15.7109375" style="1" customWidth="1"/>
    <col min="14" max="14" width="12.7109375" style="1" customWidth="1"/>
    <col min="15" max="15" width="8.140625" style="1" customWidth="1"/>
    <col min="16" max="16384" width="9.140625" style="1"/>
  </cols>
  <sheetData>
    <row r="1" spans="1:15" ht="20.25" x14ac:dyDescent="0.3">
      <c r="A1" s="341" t="s">
        <v>158</v>
      </c>
      <c r="B1" s="341"/>
      <c r="C1" s="341"/>
      <c r="D1" s="341"/>
      <c r="E1" s="341"/>
      <c r="F1" s="341"/>
    </row>
    <row r="2" spans="1:15" ht="13.5" thickBot="1" x14ac:dyDescent="0.25">
      <c r="O2" s="2" t="s">
        <v>0</v>
      </c>
    </row>
    <row r="3" spans="1:15" ht="17.100000000000001" customHeight="1" thickBot="1" x14ac:dyDescent="0.25">
      <c r="B3" s="523" t="s">
        <v>130</v>
      </c>
      <c r="C3" s="524"/>
      <c r="D3" s="524"/>
      <c r="E3" s="525"/>
      <c r="F3" s="351"/>
      <c r="G3" s="519" t="s">
        <v>131</v>
      </c>
      <c r="H3" s="520"/>
      <c r="I3" s="520"/>
      <c r="J3" s="521"/>
      <c r="K3" s="351"/>
      <c r="L3" s="516" t="s">
        <v>132</v>
      </c>
      <c r="M3" s="517"/>
      <c r="N3" s="517"/>
      <c r="O3" s="518"/>
    </row>
    <row r="4" spans="1:15" s="339" customFormat="1" ht="20.100000000000001" customHeight="1" x14ac:dyDescent="0.2">
      <c r="A4" s="374" t="s">
        <v>1</v>
      </c>
      <c r="B4" s="370" t="s">
        <v>11</v>
      </c>
      <c r="C4" s="370" t="s">
        <v>12</v>
      </c>
      <c r="D4" s="370" t="s">
        <v>4</v>
      </c>
      <c r="E4" s="371" t="s">
        <v>5</v>
      </c>
      <c r="F4" s="355"/>
      <c r="G4" s="376" t="s">
        <v>11</v>
      </c>
      <c r="H4" s="370" t="s">
        <v>12</v>
      </c>
      <c r="I4" s="370" t="s">
        <v>4</v>
      </c>
      <c r="J4" s="371" t="s">
        <v>5</v>
      </c>
      <c r="K4" s="355"/>
      <c r="L4" s="376" t="s">
        <v>11</v>
      </c>
      <c r="M4" s="370" t="s">
        <v>12</v>
      </c>
      <c r="N4" s="370" t="s">
        <v>4</v>
      </c>
      <c r="O4" s="371" t="s">
        <v>5</v>
      </c>
    </row>
    <row r="5" spans="1:15" s="4" customFormat="1" ht="12" thickBot="1" x14ac:dyDescent="0.25">
      <c r="A5" s="375">
        <v>1</v>
      </c>
      <c r="B5" s="335">
        <v>2</v>
      </c>
      <c r="C5" s="335">
        <v>3</v>
      </c>
      <c r="D5" s="335">
        <v>4</v>
      </c>
      <c r="E5" s="373" t="s">
        <v>95</v>
      </c>
      <c r="F5" s="356"/>
      <c r="G5" s="380">
        <v>6</v>
      </c>
      <c r="H5" s="381">
        <v>7</v>
      </c>
      <c r="I5" s="381">
        <v>8</v>
      </c>
      <c r="J5" s="382" t="s">
        <v>136</v>
      </c>
      <c r="K5" s="356"/>
      <c r="L5" s="384">
        <v>10</v>
      </c>
      <c r="M5" s="335">
        <v>11</v>
      </c>
      <c r="N5" s="335">
        <v>12</v>
      </c>
      <c r="O5" s="373" t="s">
        <v>139</v>
      </c>
    </row>
    <row r="6" spans="1:15" ht="15" thickTop="1" x14ac:dyDescent="0.2">
      <c r="A6" s="372" t="s">
        <v>146</v>
      </c>
      <c r="B6" s="508">
        <f>SUM(B7:B10)</f>
        <v>7731270</v>
      </c>
      <c r="C6" s="508">
        <f t="shared" ref="C6" si="0">SUM(C7:C10)</f>
        <v>7731270</v>
      </c>
      <c r="D6" s="508">
        <f>SUM(D7:D10)</f>
        <v>1689449</v>
      </c>
      <c r="E6" s="509">
        <f t="shared" ref="E6:E11" si="1">(D6/C6)*100</f>
        <v>21.852153656514389</v>
      </c>
      <c r="F6" s="357"/>
      <c r="G6" s="510">
        <f>G7+G8</f>
        <v>7701370</v>
      </c>
      <c r="H6" s="511">
        <f>H7+H8</f>
        <v>7701370</v>
      </c>
      <c r="I6" s="511">
        <f>I7+I8</f>
        <v>1681119</v>
      </c>
      <c r="J6" s="512">
        <f>(I6/H6)*100</f>
        <v>21.828830454841153</v>
      </c>
      <c r="K6" s="385"/>
      <c r="L6" s="510">
        <f>SUM(L7:L10)</f>
        <v>29900</v>
      </c>
      <c r="M6" s="511">
        <f>SUM(M7:M10)</f>
        <v>29900</v>
      </c>
      <c r="N6" s="511">
        <f>SUM(N7:N10)</f>
        <v>8330</v>
      </c>
      <c r="O6" s="512">
        <f>(N6/M6)*100</f>
        <v>27.859531772575252</v>
      </c>
    </row>
    <row r="7" spans="1:15" ht="14.25" x14ac:dyDescent="0.2">
      <c r="A7" s="435" t="s">
        <v>126</v>
      </c>
      <c r="B7" s="436">
        <f t="shared" ref="B7:D10" si="2">G7+L7</f>
        <v>7700000</v>
      </c>
      <c r="C7" s="436">
        <f t="shared" si="2"/>
        <v>7700000</v>
      </c>
      <c r="D7" s="513">
        <f t="shared" si="2"/>
        <v>1680642</v>
      </c>
      <c r="E7" s="514">
        <f t="shared" si="1"/>
        <v>21.82651948051948</v>
      </c>
      <c r="F7" s="357"/>
      <c r="G7" s="436">
        <f>1400000+100000+200000+2000000+4000000</f>
        <v>7700000</v>
      </c>
      <c r="H7" s="436">
        <f>1400000+100000+200000+2000000+4000000</f>
        <v>7700000</v>
      </c>
      <c r="I7" s="513">
        <f>336995+33025+63756+301333+945533</f>
        <v>1680642</v>
      </c>
      <c r="J7" s="514">
        <f>(I7/H7)*100</f>
        <v>21.82651948051948</v>
      </c>
      <c r="K7" s="385"/>
      <c r="L7" s="436">
        <v>0</v>
      </c>
      <c r="M7" s="436">
        <v>0</v>
      </c>
      <c r="N7" s="513">
        <v>0</v>
      </c>
      <c r="O7" s="514">
        <v>0</v>
      </c>
    </row>
    <row r="8" spans="1:15" ht="14.25" x14ac:dyDescent="0.2">
      <c r="A8" s="435" t="s">
        <v>127</v>
      </c>
      <c r="B8" s="436">
        <f t="shared" si="2"/>
        <v>1370</v>
      </c>
      <c r="C8" s="436">
        <f t="shared" si="2"/>
        <v>1370</v>
      </c>
      <c r="D8" s="513">
        <f t="shared" si="2"/>
        <v>477</v>
      </c>
      <c r="E8" s="514">
        <f t="shared" si="1"/>
        <v>34.817518248175183</v>
      </c>
      <c r="F8" s="357"/>
      <c r="G8" s="436">
        <v>1370</v>
      </c>
      <c r="H8" s="436">
        <v>1370</v>
      </c>
      <c r="I8" s="513">
        <v>477</v>
      </c>
      <c r="J8" s="514">
        <f>(I8/H8)*100</f>
        <v>34.817518248175183</v>
      </c>
      <c r="K8" s="385"/>
      <c r="L8" s="436">
        <v>0</v>
      </c>
      <c r="M8" s="436">
        <v>0</v>
      </c>
      <c r="N8" s="513">
        <v>0</v>
      </c>
      <c r="O8" s="514">
        <v>0</v>
      </c>
    </row>
    <row r="9" spans="1:15" ht="14.25" x14ac:dyDescent="0.2">
      <c r="A9" s="437" t="s">
        <v>143</v>
      </c>
      <c r="B9" s="436">
        <f t="shared" si="2"/>
        <v>3000</v>
      </c>
      <c r="C9" s="436">
        <f t="shared" si="2"/>
        <v>3000</v>
      </c>
      <c r="D9" s="436">
        <f t="shared" si="2"/>
        <v>557</v>
      </c>
      <c r="E9" s="514">
        <f>(D9/C9)*100</f>
        <v>18.566666666666666</v>
      </c>
      <c r="F9" s="357"/>
      <c r="G9" s="436">
        <v>0</v>
      </c>
      <c r="H9" s="436">
        <v>0</v>
      </c>
      <c r="I9" s="513">
        <v>0</v>
      </c>
      <c r="J9" s="514">
        <v>0</v>
      </c>
      <c r="K9" s="385"/>
      <c r="L9" s="436">
        <v>3000</v>
      </c>
      <c r="M9" s="436">
        <v>3000</v>
      </c>
      <c r="N9" s="513">
        <v>557</v>
      </c>
      <c r="O9" s="514">
        <f>(N9/M9)*100</f>
        <v>18.566666666666666</v>
      </c>
    </row>
    <row r="10" spans="1:15" ht="14.25" x14ac:dyDescent="0.2">
      <c r="A10" s="438" t="s">
        <v>144</v>
      </c>
      <c r="B10" s="436">
        <f t="shared" si="2"/>
        <v>26900</v>
      </c>
      <c r="C10" s="436">
        <f t="shared" si="2"/>
        <v>26900</v>
      </c>
      <c r="D10" s="436">
        <f t="shared" si="2"/>
        <v>7773</v>
      </c>
      <c r="E10" s="514">
        <f t="shared" si="1"/>
        <v>28.895910780669144</v>
      </c>
      <c r="F10" s="357"/>
      <c r="G10" s="436">
        <v>0</v>
      </c>
      <c r="H10" s="436">
        <v>0</v>
      </c>
      <c r="I10" s="513">
        <v>0</v>
      </c>
      <c r="J10" s="514">
        <v>0</v>
      </c>
      <c r="K10" s="385"/>
      <c r="L10" s="436">
        <v>26900</v>
      </c>
      <c r="M10" s="436">
        <v>26900</v>
      </c>
      <c r="N10" s="513">
        <v>7773</v>
      </c>
      <c r="O10" s="514">
        <f>(N10/M10)*100</f>
        <v>28.895910780669144</v>
      </c>
    </row>
    <row r="11" spans="1:15" ht="14.25" x14ac:dyDescent="0.2">
      <c r="A11" s="372" t="s">
        <v>147</v>
      </c>
      <c r="B11" s="431">
        <v>374097</v>
      </c>
      <c r="C11" s="431">
        <v>468762</v>
      </c>
      <c r="D11" s="431">
        <v>485649</v>
      </c>
      <c r="E11" s="461">
        <f t="shared" si="1"/>
        <v>103.60246777682491</v>
      </c>
      <c r="F11" s="357"/>
      <c r="G11" s="515">
        <f>B11-L11</f>
        <v>374097</v>
      </c>
      <c r="H11" s="431">
        <f>C11-M11</f>
        <v>453829</v>
      </c>
      <c r="I11" s="431">
        <f>D11-N11</f>
        <v>470460</v>
      </c>
      <c r="J11" s="440">
        <f t="shared" ref="J11" si="3">(I11/H11)*100</f>
        <v>103.66459613643025</v>
      </c>
      <c r="K11" s="385"/>
      <c r="L11" s="515">
        <v>0</v>
      </c>
      <c r="M11" s="431">
        <f>2326+6805+367+2+22+2+3675+5+7+26+8+27+7+496+1158</f>
        <v>14933</v>
      </c>
      <c r="N11" s="431">
        <f>2326+1+4+132+6804+100+367+2+22+2+3675+5+7+26+8+27+27+496+1158</f>
        <v>15189</v>
      </c>
      <c r="O11" s="461">
        <f>(N11/M11)*100</f>
        <v>101.714323980446</v>
      </c>
    </row>
    <row r="12" spans="1:15" ht="14.25" x14ac:dyDescent="0.2">
      <c r="A12" s="364" t="s">
        <v>103</v>
      </c>
      <c r="B12" s="431">
        <f>G12+L12</f>
        <v>4400</v>
      </c>
      <c r="C12" s="431">
        <f t="shared" ref="C12:D12" si="4">H12+M12</f>
        <v>5800</v>
      </c>
      <c r="D12" s="431">
        <f t="shared" si="4"/>
        <v>1444</v>
      </c>
      <c r="E12" s="461">
        <f t="shared" ref="E12:E15" si="5">(D12/C12)*100</f>
        <v>24.896551724137929</v>
      </c>
      <c r="F12" s="357"/>
      <c r="G12" s="377">
        <v>4400</v>
      </c>
      <c r="H12" s="329">
        <v>5800</v>
      </c>
      <c r="I12" s="329">
        <v>1444</v>
      </c>
      <c r="J12" s="440">
        <f t="shared" ref="J12:J16" si="6">(I12/H12)*100</f>
        <v>24.896551724137929</v>
      </c>
      <c r="K12" s="385"/>
      <c r="L12" s="377">
        <v>0</v>
      </c>
      <c r="M12" s="329">
        <v>0</v>
      </c>
      <c r="N12" s="329">
        <v>0</v>
      </c>
      <c r="O12" s="470">
        <v>0</v>
      </c>
    </row>
    <row r="13" spans="1:15" ht="14.25" x14ac:dyDescent="0.2">
      <c r="A13" s="364" t="s">
        <v>148</v>
      </c>
      <c r="B13" s="431">
        <f>G13+L13</f>
        <v>15402571</v>
      </c>
      <c r="C13" s="431">
        <f>H13+M13</f>
        <v>15643305</v>
      </c>
      <c r="D13" s="431">
        <f>I13+N13</f>
        <v>6076288</v>
      </c>
      <c r="E13" s="461">
        <f t="shared" si="5"/>
        <v>38.842738155396191</v>
      </c>
      <c r="F13" s="357"/>
      <c r="G13" s="377">
        <f>G14+G15</f>
        <v>399706</v>
      </c>
      <c r="H13" s="329">
        <f>H14+H15</f>
        <v>427650</v>
      </c>
      <c r="I13" s="329">
        <f>I14+I15</f>
        <v>171265</v>
      </c>
      <c r="J13" s="440">
        <f t="shared" si="6"/>
        <v>40.047936396585996</v>
      </c>
      <c r="K13" s="385"/>
      <c r="L13" s="377">
        <f>L14+L15</f>
        <v>15002865</v>
      </c>
      <c r="M13" s="329">
        <f>M14+M15</f>
        <v>15215655</v>
      </c>
      <c r="N13" s="329">
        <f>N14+N15</f>
        <v>5905023</v>
      </c>
      <c r="O13" s="470">
        <f>(N13/M13)*100</f>
        <v>38.808864948633499</v>
      </c>
    </row>
    <row r="14" spans="1:15" s="430" customFormat="1" ht="14.25" x14ac:dyDescent="0.2">
      <c r="A14" s="343" t="s">
        <v>140</v>
      </c>
      <c r="B14" s="436">
        <f>G14+L14</f>
        <v>15402571</v>
      </c>
      <c r="C14" s="436">
        <f t="shared" ref="C14:D15" si="7">H14+M14</f>
        <v>15553070</v>
      </c>
      <c r="D14" s="436">
        <f t="shared" si="7"/>
        <v>5930242</v>
      </c>
      <c r="E14" s="467">
        <f t="shared" si="5"/>
        <v>38.129076767480626</v>
      </c>
      <c r="F14" s="428"/>
      <c r="G14" s="468">
        <f>173706+1000+123000+102000</f>
        <v>399706</v>
      </c>
      <c r="H14" s="469">
        <f>163749+1000+1397+4554+2165+13990+1670+218+472+123000+102000</f>
        <v>414215</v>
      </c>
      <c r="I14" s="469">
        <f>40937+1397+4554+778+5967+1670+218+472+8+69112+185+15748</f>
        <v>141046</v>
      </c>
      <c r="J14" s="441">
        <f t="shared" si="6"/>
        <v>34.051398428352428</v>
      </c>
      <c r="K14" s="429"/>
      <c r="L14" s="468">
        <f>195+920+1944690+14000+287000+875027+11881033</f>
        <v>15002865</v>
      </c>
      <c r="M14" s="469">
        <f>945+845+920+2031204+17800+287000+785+875027+11881033+2201+6536+27459+99+6430+571</f>
        <v>15138855</v>
      </c>
      <c r="N14" s="469">
        <f>1314+63+1218722+17800+258+1263+192+785+202700+896+1495+4271474+2202+10816+45442+99+6430+4859+2386</f>
        <v>5789196</v>
      </c>
      <c r="O14" s="471">
        <f>(N14/M14)*100</f>
        <v>38.24064633685969</v>
      </c>
    </row>
    <row r="15" spans="1:15" s="430" customFormat="1" ht="15" thickBot="1" x14ac:dyDescent="0.25">
      <c r="A15" s="368" t="s">
        <v>141</v>
      </c>
      <c r="B15" s="436">
        <f>G15+L15</f>
        <v>0</v>
      </c>
      <c r="C15" s="436">
        <f t="shared" si="7"/>
        <v>90235</v>
      </c>
      <c r="D15" s="436">
        <f t="shared" si="7"/>
        <v>146046</v>
      </c>
      <c r="E15" s="467">
        <f t="shared" si="5"/>
        <v>161.85072311187454</v>
      </c>
      <c r="F15" s="428"/>
      <c r="G15" s="442">
        <v>0</v>
      </c>
      <c r="H15" s="443">
        <f>746+12689</f>
        <v>13435</v>
      </c>
      <c r="I15" s="443">
        <f>746+12689+1365+15419</f>
        <v>30219</v>
      </c>
      <c r="J15" s="441">
        <f t="shared" si="6"/>
        <v>224.92742835876442</v>
      </c>
      <c r="K15" s="429"/>
      <c r="L15" s="442">
        <v>0</v>
      </c>
      <c r="M15" s="443">
        <f>80+8926+67794</f>
        <v>76800</v>
      </c>
      <c r="N15" s="443">
        <f>80+8926+67794+39027</f>
        <v>115827</v>
      </c>
      <c r="O15" s="471">
        <f>(N15/M15)*100</f>
        <v>150.81640625</v>
      </c>
    </row>
    <row r="16" spans="1:15" ht="18.95" customHeight="1" thickTop="1" thickBot="1" x14ac:dyDescent="0.3">
      <c r="A16" s="432" t="s">
        <v>8</v>
      </c>
      <c r="B16" s="433">
        <f>B6+B11+B12+B13</f>
        <v>23512338</v>
      </c>
      <c r="C16" s="433">
        <f>C6+C11+C12+C13</f>
        <v>23849137</v>
      </c>
      <c r="D16" s="433">
        <f>D6+D11+D12+D13</f>
        <v>8252830</v>
      </c>
      <c r="E16" s="434">
        <f>(D16/C16)*100</f>
        <v>34.604312935935582</v>
      </c>
      <c r="F16" s="358"/>
      <c r="G16" s="348">
        <f>G6+G11+G12+G13</f>
        <v>8479573</v>
      </c>
      <c r="H16" s="348">
        <f>H6+H11+H12+H13</f>
        <v>8588649</v>
      </c>
      <c r="I16" s="348">
        <f>I6+I11+I12+I13</f>
        <v>2324288</v>
      </c>
      <c r="J16" s="349">
        <f t="shared" si="6"/>
        <v>27.062323771759679</v>
      </c>
      <c r="K16" s="358"/>
      <c r="L16" s="350">
        <f>L6+L11+L12+L13</f>
        <v>15032765</v>
      </c>
      <c r="M16" s="350">
        <f t="shared" ref="M16:N16" si="8">M6+M11+M12+M13</f>
        <v>15260488</v>
      </c>
      <c r="N16" s="350">
        <f t="shared" si="8"/>
        <v>5928542</v>
      </c>
      <c r="O16" s="349">
        <f>(N16/M16)*100</f>
        <v>38.848967346260487</v>
      </c>
    </row>
    <row r="17" spans="1:15" ht="13.5" thickBot="1" x14ac:dyDescent="0.25">
      <c r="A17" s="391"/>
      <c r="B17" s="391"/>
      <c r="C17" s="392"/>
      <c r="D17" s="392"/>
      <c r="E17" s="391"/>
      <c r="F17" s="361"/>
      <c r="G17" s="379"/>
      <c r="H17" s="379"/>
      <c r="I17" s="379"/>
      <c r="J17" s="379"/>
      <c r="K17" s="13"/>
      <c r="L17" s="379"/>
      <c r="M17" s="379"/>
      <c r="N17" s="379"/>
      <c r="O17" s="379"/>
    </row>
    <row r="18" spans="1:15" ht="20.100000000000001" customHeight="1" x14ac:dyDescent="0.2">
      <c r="A18" s="374" t="s">
        <v>91</v>
      </c>
      <c r="B18" s="388" t="s">
        <v>11</v>
      </c>
      <c r="C18" s="388" t="s">
        <v>12</v>
      </c>
      <c r="D18" s="388" t="s">
        <v>4</v>
      </c>
      <c r="E18" s="389" t="s">
        <v>5</v>
      </c>
      <c r="F18" s="359"/>
      <c r="G18" s="390" t="s">
        <v>11</v>
      </c>
      <c r="H18" s="388" t="s">
        <v>12</v>
      </c>
      <c r="I18" s="388" t="s">
        <v>4</v>
      </c>
      <c r="J18" s="389" t="s">
        <v>5</v>
      </c>
      <c r="K18" s="359"/>
      <c r="L18" s="390" t="s">
        <v>11</v>
      </c>
      <c r="M18" s="388" t="s">
        <v>12</v>
      </c>
      <c r="N18" s="388" t="s">
        <v>4</v>
      </c>
      <c r="O18" s="389" t="s">
        <v>5</v>
      </c>
    </row>
    <row r="19" spans="1:15" ht="13.5" thickBot="1" x14ac:dyDescent="0.25">
      <c r="A19" s="375">
        <v>1</v>
      </c>
      <c r="B19" s="335">
        <v>2</v>
      </c>
      <c r="C19" s="335">
        <v>3</v>
      </c>
      <c r="D19" s="335">
        <v>4</v>
      </c>
      <c r="E19" s="373" t="s">
        <v>95</v>
      </c>
      <c r="F19" s="360"/>
      <c r="G19" s="384">
        <v>6</v>
      </c>
      <c r="H19" s="335">
        <v>7</v>
      </c>
      <c r="I19" s="335">
        <v>8</v>
      </c>
      <c r="J19" s="373" t="s">
        <v>136</v>
      </c>
      <c r="K19" s="360"/>
      <c r="L19" s="384">
        <v>10</v>
      </c>
      <c r="M19" s="335">
        <v>11</v>
      </c>
      <c r="N19" s="335">
        <v>12</v>
      </c>
      <c r="O19" s="373" t="s">
        <v>139</v>
      </c>
    </row>
    <row r="20" spans="1:15" s="340" customFormat="1" ht="15.75" thickTop="1" x14ac:dyDescent="0.25">
      <c r="A20" s="421" t="s">
        <v>112</v>
      </c>
      <c r="B20" s="336">
        <f>22002073-15297</f>
        <v>21986776</v>
      </c>
      <c r="C20" s="336">
        <f>22513905-15854</f>
        <v>22498051</v>
      </c>
      <c r="D20" s="336">
        <f>12922246-7095393</f>
        <v>5826853</v>
      </c>
      <c r="E20" s="369">
        <f t="shared" ref="E20:E26" si="9">(D20/C20)*100</f>
        <v>25.899367905246546</v>
      </c>
      <c r="F20" s="358"/>
      <c r="G20" s="336">
        <f>B20-L20</f>
        <v>6953268</v>
      </c>
      <c r="H20" s="336">
        <f>C20-M20</f>
        <v>7300291</v>
      </c>
      <c r="I20" s="336">
        <f>D20-N20</f>
        <v>2275239</v>
      </c>
      <c r="J20" s="369">
        <f t="shared" ref="J20:J27" si="10">(I20/H20)*100</f>
        <v>31.166415147012632</v>
      </c>
      <c r="K20" s="358"/>
      <c r="L20" s="408">
        <f>SUM(L21:L25)</f>
        <v>15033508</v>
      </c>
      <c r="M20" s="336">
        <f t="shared" ref="M20:N20" si="11">SUM(M21:M25)</f>
        <v>15197760</v>
      </c>
      <c r="N20" s="336">
        <f t="shared" si="11"/>
        <v>3551614</v>
      </c>
      <c r="O20" s="369">
        <f>(N20/M20)*100</f>
        <v>23.369325479544354</v>
      </c>
    </row>
    <row r="21" spans="1:15" ht="14.25" x14ac:dyDescent="0.2">
      <c r="A21" s="343" t="s">
        <v>137</v>
      </c>
      <c r="B21" s="436">
        <f>G21+L21</f>
        <v>563369</v>
      </c>
      <c r="C21" s="436">
        <f>H21+M21</f>
        <v>564350</v>
      </c>
      <c r="D21" s="436">
        <f>I21+N21</f>
        <v>128941</v>
      </c>
      <c r="E21" s="386">
        <f t="shared" si="9"/>
        <v>22.847700894834766</v>
      </c>
      <c r="F21" s="353"/>
      <c r="G21" s="439">
        <v>547531</v>
      </c>
      <c r="H21" s="436">
        <v>547955</v>
      </c>
      <c r="I21" s="436">
        <v>125119</v>
      </c>
      <c r="J21" s="466">
        <f t="shared" si="10"/>
        <v>22.833809345657947</v>
      </c>
      <c r="K21" s="367"/>
      <c r="L21" s="439">
        <v>15838</v>
      </c>
      <c r="M21" s="436">
        <v>16395</v>
      </c>
      <c r="N21" s="436">
        <v>3822</v>
      </c>
      <c r="O21" s="466">
        <f>(N21/M21)*100</f>
        <v>23.311985361390668</v>
      </c>
    </row>
    <row r="22" spans="1:15" ht="14.25" x14ac:dyDescent="0.2">
      <c r="A22" s="343" t="s">
        <v>128</v>
      </c>
      <c r="B22" s="436">
        <f>G22+L22</f>
        <v>2462677</v>
      </c>
      <c r="C22" s="436">
        <f t="shared" ref="C22:D25" si="12">H22+M22</f>
        <v>2451584</v>
      </c>
      <c r="D22" s="436">
        <f t="shared" si="12"/>
        <v>845040</v>
      </c>
      <c r="E22" s="386">
        <f t="shared" si="9"/>
        <v>34.46914321516212</v>
      </c>
      <c r="F22" s="353"/>
      <c r="G22" s="439">
        <v>2462677</v>
      </c>
      <c r="H22" s="436">
        <v>2451584</v>
      </c>
      <c r="I22" s="436">
        <v>845040</v>
      </c>
      <c r="J22" s="466">
        <f t="shared" si="10"/>
        <v>34.46914321516212</v>
      </c>
      <c r="K22" s="367"/>
      <c r="L22" s="439">
        <v>0</v>
      </c>
      <c r="M22" s="436">
        <v>0</v>
      </c>
      <c r="N22" s="436">
        <v>0</v>
      </c>
      <c r="O22" s="466">
        <v>0</v>
      </c>
    </row>
    <row r="23" spans="1:15" ht="14.25" customHeight="1" x14ac:dyDescent="0.2">
      <c r="A23" s="344" t="s">
        <v>138</v>
      </c>
      <c r="B23" s="436">
        <f>G23+L23</f>
        <v>2246000</v>
      </c>
      <c r="C23" s="436">
        <f t="shared" si="12"/>
        <v>2308194</v>
      </c>
      <c r="D23" s="436">
        <f t="shared" si="12"/>
        <v>1051126</v>
      </c>
      <c r="E23" s="386">
        <f t="shared" si="9"/>
        <v>45.538893177956446</v>
      </c>
      <c r="F23" s="353"/>
      <c r="G23" s="439">
        <v>2246000</v>
      </c>
      <c r="H23" s="436">
        <v>2308194</v>
      </c>
      <c r="I23" s="436">
        <v>1051126</v>
      </c>
      <c r="J23" s="466">
        <f t="shared" si="10"/>
        <v>45.538893177956446</v>
      </c>
      <c r="K23" s="367"/>
      <c r="L23" s="439">
        <v>0</v>
      </c>
      <c r="M23" s="436">
        <v>0</v>
      </c>
      <c r="N23" s="436">
        <v>0</v>
      </c>
      <c r="O23" s="466">
        <v>0</v>
      </c>
    </row>
    <row r="24" spans="1:15" ht="14.25" x14ac:dyDescent="0.2">
      <c r="A24" s="343" t="s">
        <v>145</v>
      </c>
      <c r="B24" s="436">
        <f>G24+L24</f>
        <v>514231</v>
      </c>
      <c r="C24" s="436">
        <f t="shared" si="12"/>
        <v>547682</v>
      </c>
      <c r="D24" s="436">
        <f t="shared" si="12"/>
        <v>74231</v>
      </c>
      <c r="E24" s="386">
        <f t="shared" si="9"/>
        <v>13.553668004425926</v>
      </c>
      <c r="F24" s="353"/>
      <c r="G24" s="439">
        <f>509456+4775</f>
        <v>514231</v>
      </c>
      <c r="H24" s="436">
        <f>527900+4026</f>
        <v>531926</v>
      </c>
      <c r="I24" s="436">
        <f>71179+573</f>
        <v>71752</v>
      </c>
      <c r="J24" s="466">
        <f t="shared" si="10"/>
        <v>13.48909434771002</v>
      </c>
      <c r="K24" s="367"/>
      <c r="L24" s="439">
        <v>0</v>
      </c>
      <c r="M24" s="436">
        <f>19782-4026</f>
        <v>15756</v>
      </c>
      <c r="N24" s="436">
        <f>3052-573</f>
        <v>2479</v>
      </c>
      <c r="O24" s="466">
        <f>(N24/M24)*100</f>
        <v>15.733688753490735</v>
      </c>
    </row>
    <row r="25" spans="1:15" ht="14.25" x14ac:dyDescent="0.2">
      <c r="A25" s="343" t="s">
        <v>149</v>
      </c>
      <c r="B25" s="436">
        <f>G25+L25</f>
        <v>16200499</v>
      </c>
      <c r="C25" s="436">
        <f t="shared" si="12"/>
        <v>16626241</v>
      </c>
      <c r="D25" s="436">
        <f t="shared" si="12"/>
        <v>3727515</v>
      </c>
      <c r="E25" s="386">
        <f t="shared" si="9"/>
        <v>22.419469319613494</v>
      </c>
      <c r="F25" s="353"/>
      <c r="G25" s="436">
        <f>G20-G21-G22-G23-G24</f>
        <v>1182829</v>
      </c>
      <c r="H25" s="436">
        <f>H20-H21-H22-H23-H24</f>
        <v>1460632</v>
      </c>
      <c r="I25" s="436">
        <f>I20-I21-I22-I23-I24</f>
        <v>182202</v>
      </c>
      <c r="J25" s="466">
        <f t="shared" si="10"/>
        <v>12.474189255062191</v>
      </c>
      <c r="K25" s="367"/>
      <c r="L25" s="439">
        <v>15017670</v>
      </c>
      <c r="M25" s="436">
        <v>15165609</v>
      </c>
      <c r="N25" s="436">
        <v>3545313</v>
      </c>
      <c r="O25" s="466">
        <f>(N25/M25)*100</f>
        <v>23.377320356867966</v>
      </c>
    </row>
    <row r="26" spans="1:15" s="340" customFormat="1" ht="21.75" customHeight="1" thickBot="1" x14ac:dyDescent="0.3">
      <c r="A26" s="422" t="s">
        <v>113</v>
      </c>
      <c r="B26" s="464">
        <v>3201605</v>
      </c>
      <c r="C26" s="464">
        <v>3670414</v>
      </c>
      <c r="D26" s="464">
        <v>291340</v>
      </c>
      <c r="E26" s="497">
        <f t="shared" si="9"/>
        <v>7.9375242138897679</v>
      </c>
      <c r="F26" s="352"/>
      <c r="G26" s="378">
        <f>B26-L26</f>
        <v>3161605</v>
      </c>
      <c r="H26" s="394">
        <f>C26-M26</f>
        <v>3488711</v>
      </c>
      <c r="I26" s="394">
        <f>D26-N26</f>
        <v>267969</v>
      </c>
      <c r="J26" s="497">
        <f t="shared" si="10"/>
        <v>7.6810317621608668</v>
      </c>
      <c r="K26" s="358"/>
      <c r="L26" s="498">
        <v>40000</v>
      </c>
      <c r="M26" s="464">
        <f>80+67794+32414+41415+40000</f>
        <v>181703</v>
      </c>
      <c r="N26" s="464">
        <f>80+7008+16283</f>
        <v>23371</v>
      </c>
      <c r="O26" s="497">
        <f>(N26/M26)*100</f>
        <v>12.862198202561324</v>
      </c>
    </row>
    <row r="27" spans="1:15" ht="16.5" thickTop="1" thickBot="1" x14ac:dyDescent="0.25">
      <c r="A27" s="345" t="s">
        <v>134</v>
      </c>
      <c r="B27" s="346">
        <f>B26+B20</f>
        <v>25188381</v>
      </c>
      <c r="C27" s="346">
        <f>C26+C20</f>
        <v>26168465</v>
      </c>
      <c r="D27" s="346">
        <f>D26+D20</f>
        <v>6118193</v>
      </c>
      <c r="E27" s="362">
        <f>(D27/C27)*100</f>
        <v>23.380022481257498</v>
      </c>
      <c r="F27" s="354"/>
      <c r="G27" s="400">
        <f>G26+G20</f>
        <v>10114873</v>
      </c>
      <c r="H27" s="401">
        <f>H26+H20</f>
        <v>10789002</v>
      </c>
      <c r="I27" s="401">
        <f>I26+I20</f>
        <v>2543208</v>
      </c>
      <c r="J27" s="402">
        <f t="shared" si="10"/>
        <v>23.57222660631632</v>
      </c>
      <c r="K27" s="354"/>
      <c r="L27" s="425">
        <f>L26+L20</f>
        <v>15073508</v>
      </c>
      <c r="M27" s="346">
        <f>M26+M20</f>
        <v>15379463</v>
      </c>
      <c r="N27" s="346">
        <f>N26+N20</f>
        <v>3574985</v>
      </c>
      <c r="O27" s="362">
        <f>(N27/M27)*100</f>
        <v>23.245187429496074</v>
      </c>
    </row>
    <row r="28" spans="1:15" ht="13.5" thickBot="1" x14ac:dyDescent="0.25">
      <c r="A28" s="379"/>
      <c r="B28" s="379"/>
      <c r="C28" s="399"/>
      <c r="D28" s="399"/>
      <c r="E28" s="379"/>
      <c r="F28" s="13"/>
      <c r="G28" s="379"/>
      <c r="H28" s="399"/>
      <c r="I28" s="399"/>
      <c r="J28" s="379"/>
      <c r="K28" s="13"/>
      <c r="L28" s="379"/>
      <c r="M28" s="399"/>
      <c r="N28" s="399"/>
      <c r="O28" s="379"/>
    </row>
    <row r="29" spans="1:15" ht="15.75" thickBot="1" x14ac:dyDescent="0.25">
      <c r="A29" s="396" t="s">
        <v>142</v>
      </c>
      <c r="B29" s="397">
        <f>B27-B16</f>
        <v>1676043</v>
      </c>
      <c r="C29" s="397">
        <f>C27-C16</f>
        <v>2319328</v>
      </c>
      <c r="D29" s="397">
        <f>D27-D16</f>
        <v>-2134637</v>
      </c>
      <c r="E29" s="398"/>
      <c r="F29" s="354"/>
      <c r="G29" s="403">
        <f>G27-G16</f>
        <v>1635300</v>
      </c>
      <c r="H29" s="397">
        <f>H27-H16</f>
        <v>2200353</v>
      </c>
      <c r="I29" s="397">
        <f>I27-I16</f>
        <v>218920</v>
      </c>
      <c r="J29" s="398"/>
      <c r="K29" s="354"/>
      <c r="L29" s="404">
        <f>L27-L16</f>
        <v>40743</v>
      </c>
      <c r="M29" s="405">
        <f>M27-M16</f>
        <v>118975</v>
      </c>
      <c r="N29" s="405">
        <f>N27-N16</f>
        <v>-2353557</v>
      </c>
      <c r="O29" s="406"/>
    </row>
    <row r="31" spans="1:15" ht="20.25" x14ac:dyDescent="0.3">
      <c r="A31" s="341" t="s">
        <v>159</v>
      </c>
      <c r="B31" s="341"/>
      <c r="C31" s="341"/>
      <c r="D31" s="341"/>
      <c r="E31" s="341"/>
      <c r="F31" s="341"/>
    </row>
    <row r="32" spans="1:15" ht="15" thickBot="1" x14ac:dyDescent="0.25">
      <c r="A32" s="522"/>
      <c r="B32" s="522"/>
      <c r="C32" s="522"/>
      <c r="D32" s="522"/>
      <c r="E32" s="522"/>
      <c r="F32" s="337"/>
      <c r="N32" s="2" t="s">
        <v>0</v>
      </c>
    </row>
    <row r="33" spans="1:14" ht="17.100000000000001" customHeight="1" thickBot="1" x14ac:dyDescent="0.25">
      <c r="B33" s="516" t="s">
        <v>130</v>
      </c>
      <c r="C33" s="517"/>
      <c r="D33" s="518"/>
      <c r="G33" s="516" t="s">
        <v>131</v>
      </c>
      <c r="H33" s="517"/>
      <c r="I33" s="518"/>
      <c r="L33" s="516" t="s">
        <v>132</v>
      </c>
      <c r="M33" s="517"/>
      <c r="N33" s="518"/>
    </row>
    <row r="34" spans="1:14" ht="20.100000000000001" customHeight="1" thickBot="1" x14ac:dyDescent="0.25">
      <c r="A34" s="374" t="s">
        <v>1</v>
      </c>
      <c r="B34" s="410" t="s">
        <v>152</v>
      </c>
      <c r="C34" s="410" t="s">
        <v>160</v>
      </c>
      <c r="D34" s="411" t="s">
        <v>133</v>
      </c>
      <c r="G34" s="409" t="s">
        <v>152</v>
      </c>
      <c r="H34" s="410" t="s">
        <v>160</v>
      </c>
      <c r="I34" s="411" t="s">
        <v>133</v>
      </c>
      <c r="L34" s="409" t="s">
        <v>152</v>
      </c>
      <c r="M34" s="410" t="s">
        <v>160</v>
      </c>
      <c r="N34" s="411" t="s">
        <v>133</v>
      </c>
    </row>
    <row r="35" spans="1:14" ht="15" thickTop="1" x14ac:dyDescent="0.2">
      <c r="A35" s="407" t="s">
        <v>101</v>
      </c>
      <c r="B35" s="327">
        <v>1736614</v>
      </c>
      <c r="C35" s="326">
        <f>D6</f>
        <v>1689449</v>
      </c>
      <c r="D35" s="363">
        <f t="shared" ref="D35:D41" si="13">(C35/B35)*100</f>
        <v>97.284082703467774</v>
      </c>
      <c r="G35" s="408">
        <v>1731739</v>
      </c>
      <c r="H35" s="336">
        <f>I6</f>
        <v>1681119</v>
      </c>
      <c r="I35" s="369">
        <f t="shared" ref="I35:I41" si="14">(H35/G35)*100</f>
        <v>97.076926719326636</v>
      </c>
      <c r="L35" s="383">
        <v>4875</v>
      </c>
      <c r="M35" s="326">
        <f>N6</f>
        <v>8330</v>
      </c>
      <c r="N35" s="363">
        <f>(M35/L35)*100</f>
        <v>170.87179487179486</v>
      </c>
    </row>
    <row r="36" spans="1:14" ht="14.25" x14ac:dyDescent="0.2">
      <c r="A36" s="364" t="s">
        <v>102</v>
      </c>
      <c r="B36" s="328">
        <v>405451</v>
      </c>
      <c r="C36" s="329">
        <f>D11</f>
        <v>485649</v>
      </c>
      <c r="D36" s="365">
        <f t="shared" si="13"/>
        <v>119.77994874843077</v>
      </c>
      <c r="G36" s="377">
        <v>359887</v>
      </c>
      <c r="H36" s="329">
        <f>I11</f>
        <v>470460</v>
      </c>
      <c r="I36" s="365">
        <f t="shared" si="14"/>
        <v>130.72436625940921</v>
      </c>
      <c r="L36" s="377">
        <v>45564</v>
      </c>
      <c r="M36" s="329">
        <f>N11</f>
        <v>15189</v>
      </c>
      <c r="N36" s="365">
        <f t="shared" ref="N36" si="15">(M36/L36)*100</f>
        <v>33.33552804845931</v>
      </c>
    </row>
    <row r="37" spans="1:14" ht="14.25" x14ac:dyDescent="0.2">
      <c r="A37" s="366" t="s">
        <v>103</v>
      </c>
      <c r="B37" s="328">
        <v>111</v>
      </c>
      <c r="C37" s="329">
        <f>D12</f>
        <v>1444</v>
      </c>
      <c r="D37" s="365">
        <f>(C37/B37)*100</f>
        <v>1300.900900900901</v>
      </c>
      <c r="G37" s="377">
        <v>111</v>
      </c>
      <c r="H37" s="329">
        <f>I12</f>
        <v>1444</v>
      </c>
      <c r="I37" s="365">
        <f t="shared" si="14"/>
        <v>1300.900900900901</v>
      </c>
      <c r="L37" s="377">
        <v>0</v>
      </c>
      <c r="M37" s="329">
        <f>N12</f>
        <v>0</v>
      </c>
      <c r="N37" s="365">
        <v>0</v>
      </c>
    </row>
    <row r="38" spans="1:14" ht="14.25" x14ac:dyDescent="0.2">
      <c r="A38" s="364" t="s">
        <v>104</v>
      </c>
      <c r="B38" s="328">
        <v>5663896</v>
      </c>
      <c r="C38" s="329">
        <f>D13</f>
        <v>6076288</v>
      </c>
      <c r="D38" s="365">
        <f t="shared" si="13"/>
        <v>107.28106589527772</v>
      </c>
      <c r="G38" s="377">
        <v>301954</v>
      </c>
      <c r="H38" s="329">
        <f>I13</f>
        <v>171265</v>
      </c>
      <c r="I38" s="365">
        <f t="shared" si="14"/>
        <v>56.718904203951595</v>
      </c>
      <c r="L38" s="377">
        <v>5361942</v>
      </c>
      <c r="M38" s="329">
        <f>N13</f>
        <v>5905023</v>
      </c>
      <c r="N38" s="365">
        <f t="shared" ref="N38:N40" si="16">(M38/L38)*100</f>
        <v>110.12843853961867</v>
      </c>
    </row>
    <row r="39" spans="1:14" ht="14.25" x14ac:dyDescent="0.2">
      <c r="A39" s="343" t="s">
        <v>140</v>
      </c>
      <c r="B39" s="436">
        <v>5451723</v>
      </c>
      <c r="C39" s="436">
        <f>D14</f>
        <v>5930242</v>
      </c>
      <c r="D39" s="386">
        <f t="shared" si="13"/>
        <v>108.77739019388916</v>
      </c>
      <c r="G39" s="439">
        <v>127174</v>
      </c>
      <c r="H39" s="436">
        <f>I14</f>
        <v>141046</v>
      </c>
      <c r="I39" s="386">
        <f t="shared" si="14"/>
        <v>110.90788997751113</v>
      </c>
      <c r="L39" s="439">
        <v>5324549</v>
      </c>
      <c r="M39" s="436">
        <f>N14</f>
        <v>5789196</v>
      </c>
      <c r="N39" s="386">
        <f t="shared" si="16"/>
        <v>108.72650434806779</v>
      </c>
    </row>
    <row r="40" spans="1:14" ht="15" thickBot="1" x14ac:dyDescent="0.25">
      <c r="A40" s="368" t="s">
        <v>141</v>
      </c>
      <c r="B40" s="445">
        <v>212173</v>
      </c>
      <c r="C40" s="445">
        <f>D15</f>
        <v>146046</v>
      </c>
      <c r="D40" s="446">
        <f t="shared" si="13"/>
        <v>68.833451947231737</v>
      </c>
      <c r="G40" s="447">
        <v>174780</v>
      </c>
      <c r="H40" s="445">
        <f>I15</f>
        <v>30219</v>
      </c>
      <c r="I40" s="446">
        <f t="shared" si="14"/>
        <v>17.289735667696533</v>
      </c>
      <c r="L40" s="447">
        <v>37393</v>
      </c>
      <c r="M40" s="445">
        <f>N15</f>
        <v>115827</v>
      </c>
      <c r="N40" s="446">
        <f t="shared" si="16"/>
        <v>309.75583665391918</v>
      </c>
    </row>
    <row r="41" spans="1:14" ht="17.25" thickTop="1" thickBot="1" x14ac:dyDescent="0.3">
      <c r="A41" s="424" t="s">
        <v>8</v>
      </c>
      <c r="B41" s="342">
        <f>SUM(B35:B38)</f>
        <v>7806072</v>
      </c>
      <c r="C41" s="462">
        <f>SUM(C35:C38)</f>
        <v>8252830</v>
      </c>
      <c r="D41" s="444">
        <f t="shared" si="13"/>
        <v>105.72321136674117</v>
      </c>
      <c r="G41" s="412">
        <f>SUM(G35:G38)</f>
        <v>2393691</v>
      </c>
      <c r="H41" s="348">
        <f>SUM(H35:H38)</f>
        <v>2324288</v>
      </c>
      <c r="I41" s="349">
        <f t="shared" si="14"/>
        <v>97.10058650009546</v>
      </c>
      <c r="L41" s="412">
        <f>SUM(L35:L38)</f>
        <v>5412381</v>
      </c>
      <c r="M41" s="348">
        <f>SUM(M35:M38)</f>
        <v>5928542</v>
      </c>
      <c r="N41" s="349">
        <f t="shared" ref="N41" si="17">(M41/L41)*100</f>
        <v>109.53667156839106</v>
      </c>
    </row>
    <row r="42" spans="1:14" ht="13.5" thickBot="1" x14ac:dyDescent="0.25">
      <c r="A42" s="222"/>
      <c r="B42" s="223"/>
      <c r="C42" s="223"/>
      <c r="D42" s="222"/>
      <c r="G42" s="13"/>
    </row>
    <row r="43" spans="1:14" ht="20.100000000000001" customHeight="1" thickBot="1" x14ac:dyDescent="0.25">
      <c r="A43" s="374" t="s">
        <v>91</v>
      </c>
      <c r="B43" s="413" t="s">
        <v>152</v>
      </c>
      <c r="C43" s="413" t="s">
        <v>160</v>
      </c>
      <c r="D43" s="414" t="s">
        <v>133</v>
      </c>
      <c r="G43" s="416" t="s">
        <v>152</v>
      </c>
      <c r="H43" s="413" t="s">
        <v>160</v>
      </c>
      <c r="I43" s="414" t="s">
        <v>133</v>
      </c>
      <c r="L43" s="416" t="s">
        <v>152</v>
      </c>
      <c r="M43" s="413" t="s">
        <v>160</v>
      </c>
      <c r="N43" s="414" t="s">
        <v>133</v>
      </c>
    </row>
    <row r="44" spans="1:14" s="340" customFormat="1" ht="15" thickTop="1" x14ac:dyDescent="0.2">
      <c r="A44" s="421" t="s">
        <v>112</v>
      </c>
      <c r="B44" s="418">
        <v>5349205</v>
      </c>
      <c r="C44" s="463">
        <f>D20</f>
        <v>5826853</v>
      </c>
      <c r="D44" s="419">
        <f>C44/B44*100</f>
        <v>108.92932688128423</v>
      </c>
      <c r="G44" s="383">
        <v>2039435</v>
      </c>
      <c r="H44" s="326">
        <f>I20</f>
        <v>2275239</v>
      </c>
      <c r="I44" s="419">
        <f>H44/G44*100</f>
        <v>111.56222188988616</v>
      </c>
      <c r="L44" s="423">
        <v>3309770</v>
      </c>
      <c r="M44" s="463">
        <f t="shared" ref="M44:M50" si="18">N20</f>
        <v>3551614</v>
      </c>
      <c r="N44" s="419">
        <f>M44/L44*100</f>
        <v>107.30697299208103</v>
      </c>
    </row>
    <row r="45" spans="1:14" ht="14.25" x14ac:dyDescent="0.2">
      <c r="A45" s="343" t="s">
        <v>137</v>
      </c>
      <c r="B45" s="436">
        <v>89428</v>
      </c>
      <c r="C45" s="436">
        <f>H45+M45</f>
        <v>128941</v>
      </c>
      <c r="D45" s="386">
        <f>(C45/B45)*100</f>
        <v>144.18414814152166</v>
      </c>
      <c r="G45" s="439">
        <v>85900</v>
      </c>
      <c r="H45" s="436">
        <f>I21</f>
        <v>125119</v>
      </c>
      <c r="I45" s="386">
        <f>(H45/G45)*100</f>
        <v>145.65657741559954</v>
      </c>
      <c r="L45" s="439">
        <v>3528</v>
      </c>
      <c r="M45" s="436">
        <f t="shared" si="18"/>
        <v>3822</v>
      </c>
      <c r="N45" s="387">
        <f>(M45/L45)*100</f>
        <v>108.33333333333333</v>
      </c>
    </row>
    <row r="46" spans="1:14" ht="14.25" x14ac:dyDescent="0.2">
      <c r="A46" s="343" t="s">
        <v>128</v>
      </c>
      <c r="B46" s="436">
        <v>780883</v>
      </c>
      <c r="C46" s="436">
        <f>H46+M46</f>
        <v>845040</v>
      </c>
      <c r="D46" s="386">
        <f>(C46/B46)*100</f>
        <v>108.21595552726848</v>
      </c>
      <c r="G46" s="439">
        <v>780883</v>
      </c>
      <c r="H46" s="436">
        <f t="shared" ref="H46:H49" si="19">I22</f>
        <v>845040</v>
      </c>
      <c r="I46" s="386">
        <f>(H46/G46)*100</f>
        <v>108.21595552726848</v>
      </c>
      <c r="L46" s="439">
        <v>0</v>
      </c>
      <c r="M46" s="436">
        <f t="shared" si="18"/>
        <v>0</v>
      </c>
      <c r="N46" s="387">
        <v>0</v>
      </c>
    </row>
    <row r="47" spans="1:14" ht="14.25" x14ac:dyDescent="0.2">
      <c r="A47" s="344" t="s">
        <v>138</v>
      </c>
      <c r="B47" s="436">
        <v>902284</v>
      </c>
      <c r="C47" s="436">
        <f>H47+M47</f>
        <v>1051126</v>
      </c>
      <c r="D47" s="386">
        <f>(C47/B47)*100</f>
        <v>116.49613647144359</v>
      </c>
      <c r="G47" s="439">
        <v>902284</v>
      </c>
      <c r="H47" s="436">
        <f t="shared" si="19"/>
        <v>1051126</v>
      </c>
      <c r="I47" s="386">
        <f>(H47/G47)*100</f>
        <v>116.49613647144359</v>
      </c>
      <c r="L47" s="439">
        <v>0</v>
      </c>
      <c r="M47" s="436">
        <f t="shared" si="18"/>
        <v>0</v>
      </c>
      <c r="N47" s="387">
        <v>0</v>
      </c>
    </row>
    <row r="48" spans="1:14" ht="14.25" x14ac:dyDescent="0.2">
      <c r="A48" s="343" t="s">
        <v>145</v>
      </c>
      <c r="B48" s="436">
        <v>67782</v>
      </c>
      <c r="C48" s="436">
        <f>H48+M48</f>
        <v>74231</v>
      </c>
      <c r="D48" s="386">
        <f>(C48/B48)*100</f>
        <v>109.51432533711014</v>
      </c>
      <c r="G48" s="439">
        <v>65957</v>
      </c>
      <c r="H48" s="436">
        <f>I24</f>
        <v>71752</v>
      </c>
      <c r="I48" s="386">
        <f>(H48/G48)*100</f>
        <v>108.78602726018467</v>
      </c>
      <c r="L48" s="439">
        <v>1825</v>
      </c>
      <c r="M48" s="436">
        <f t="shared" si="18"/>
        <v>2479</v>
      </c>
      <c r="N48" s="387">
        <f>(M48/L48)*100</f>
        <v>135.83561643835617</v>
      </c>
    </row>
    <row r="49" spans="1:14" ht="14.25" x14ac:dyDescent="0.2">
      <c r="A49" s="343" t="s">
        <v>149</v>
      </c>
      <c r="B49" s="436">
        <v>3508828</v>
      </c>
      <c r="C49" s="436">
        <f>H49+M49</f>
        <v>3727515</v>
      </c>
      <c r="D49" s="386">
        <f>(C49/B49)*100</f>
        <v>106.23247990497111</v>
      </c>
      <c r="G49" s="439">
        <v>204411</v>
      </c>
      <c r="H49" s="436">
        <f t="shared" si="19"/>
        <v>182202</v>
      </c>
      <c r="I49" s="386">
        <f>(H49/G49)*100</f>
        <v>89.13512482204969</v>
      </c>
      <c r="L49" s="439">
        <v>3304417</v>
      </c>
      <c r="M49" s="436">
        <f t="shared" si="18"/>
        <v>3545313</v>
      </c>
      <c r="N49" s="387">
        <f>(M49/L49)*100</f>
        <v>107.29012107128126</v>
      </c>
    </row>
    <row r="50" spans="1:14" s="340" customFormat="1" ht="15" thickBot="1" x14ac:dyDescent="0.25">
      <c r="A50" s="422" t="s">
        <v>113</v>
      </c>
      <c r="B50" s="393">
        <v>82711</v>
      </c>
      <c r="C50" s="464">
        <f>D26</f>
        <v>291340</v>
      </c>
      <c r="D50" s="420">
        <f>C50/B50*100</f>
        <v>352.23851724679906</v>
      </c>
      <c r="G50" s="378">
        <v>42021</v>
      </c>
      <c r="H50" s="394">
        <f t="shared" ref="H50" si="20">I26</f>
        <v>267969</v>
      </c>
      <c r="I50" s="420">
        <f>H50/G50*100</f>
        <v>637.70257728278716</v>
      </c>
      <c r="L50" s="395">
        <v>40690</v>
      </c>
      <c r="M50" s="464">
        <f t="shared" si="18"/>
        <v>23371</v>
      </c>
      <c r="N50" s="420">
        <f>M50/L50*100</f>
        <v>57.436716637994593</v>
      </c>
    </row>
    <row r="51" spans="1:14" ht="16.5" thickTop="1" thickBot="1" x14ac:dyDescent="0.25">
      <c r="A51" s="396" t="s">
        <v>135</v>
      </c>
      <c r="B51" s="415">
        <f t="shared" ref="B51" si="21">B50+B44</f>
        <v>5431916</v>
      </c>
      <c r="C51" s="465">
        <f t="shared" ref="C51" si="22">C50+C44</f>
        <v>6118193</v>
      </c>
      <c r="D51" s="398">
        <f>C51/B51*100</f>
        <v>112.6341607638999</v>
      </c>
      <c r="G51" s="417">
        <f t="shared" ref="G51" si="23">G50+G44</f>
        <v>2081456</v>
      </c>
      <c r="H51" s="465">
        <f t="shared" ref="H51" si="24">H50+H44</f>
        <v>2543208</v>
      </c>
      <c r="I51" s="398">
        <f>H51/G51*100</f>
        <v>122.18408652404855</v>
      </c>
      <c r="L51" s="417">
        <f t="shared" ref="L51" si="25">L50+L44</f>
        <v>3350460</v>
      </c>
      <c r="M51" s="465">
        <f t="shared" ref="M51" si="26">M50+M44</f>
        <v>3574985</v>
      </c>
      <c r="N51" s="398">
        <f>M51/L51*100</f>
        <v>106.70131862490524</v>
      </c>
    </row>
    <row r="52" spans="1:14" ht="13.5" thickBot="1" x14ac:dyDescent="0.25">
      <c r="B52" s="166"/>
      <c r="D52" s="1"/>
      <c r="G52" s="166"/>
      <c r="H52" s="166"/>
      <c r="L52" s="166"/>
      <c r="M52" s="166"/>
    </row>
    <row r="53" spans="1:14" ht="15.75" thickBot="1" x14ac:dyDescent="0.25">
      <c r="A53" s="426" t="s">
        <v>142</v>
      </c>
      <c r="B53" s="405">
        <f>B51-B41</f>
        <v>-2374156</v>
      </c>
      <c r="C53" s="405">
        <f>C51-C41</f>
        <v>-2134637</v>
      </c>
      <c r="D53" s="427"/>
      <c r="E53" s="347"/>
      <c r="F53" s="347"/>
      <c r="G53" s="404">
        <f>G51-G41</f>
        <v>-312235</v>
      </c>
      <c r="H53" s="405">
        <f>H51-H41</f>
        <v>218920</v>
      </c>
      <c r="I53" s="427"/>
      <c r="J53" s="347"/>
      <c r="K53" s="347"/>
      <c r="L53" s="404">
        <f>L51-L41</f>
        <v>-2061921</v>
      </c>
      <c r="M53" s="405">
        <f>M51-M41</f>
        <v>-2353557</v>
      </c>
      <c r="N53" s="427"/>
    </row>
    <row r="54" spans="1:14" x14ac:dyDescent="0.2">
      <c r="B54" s="166"/>
      <c r="D54" s="1"/>
    </row>
    <row r="55" spans="1:14" x14ac:dyDescent="0.2">
      <c r="B55" s="166"/>
      <c r="D55" s="1"/>
    </row>
    <row r="56" spans="1:14" x14ac:dyDescent="0.2">
      <c r="B56" s="166"/>
      <c r="D56" s="1"/>
    </row>
    <row r="57" spans="1:14" x14ac:dyDescent="0.2">
      <c r="B57" s="166"/>
      <c r="D57" s="1"/>
    </row>
    <row r="58" spans="1:14" x14ac:dyDescent="0.2">
      <c r="B58" s="166"/>
      <c r="D58" s="1"/>
    </row>
  </sheetData>
  <mergeCells count="7">
    <mergeCell ref="B33:D33"/>
    <mergeCell ref="G33:I33"/>
    <mergeCell ref="L33:N33"/>
    <mergeCell ref="G3:J3"/>
    <mergeCell ref="L3:O3"/>
    <mergeCell ref="A32:E32"/>
    <mergeCell ref="B3:E3"/>
  </mergeCells>
  <phoneticPr fontId="5" type="noConversion"/>
  <pageMargins left="0.59055118110236227" right="0.19685039370078741" top="0.39370078740157483" bottom="0.98425196850393704" header="0" footer="0.51181102362204722"/>
  <pageSetup paperSize="9" scale="62" firstPageNumber="3" orientation="landscape" cellComments="asDisplayed" useFirstPageNumber="1" r:id="rId1"/>
  <headerFooter alignWithMargins="0">
    <oddFooter xml:space="preserve">&amp;L&amp;"Arial CE,Kurzíva"Zastupitelstvo Olomouckého kraje 28. 4. 2025
8.3. - Rozpočet Olomouckého kraje 2025 - plnění rozpočtu k 31. 3. 2025
Příloha č. 1 - Bilance Olomouckého kraje k 31. 3. 2025&amp;R&amp;"Arial CE,Kurzíva"Strana &amp;P (Celkem 8)
</oddFooter>
  </headerFooter>
  <rowBreaks count="1" manualBreakCount="1">
    <brk id="53" max="14" man="1"/>
  </rowBreaks>
  <colBreaks count="1" manualBreakCount="1">
    <brk id="19" max="29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10"/>
  </sheetPr>
  <dimension ref="A1:G27"/>
  <sheetViews>
    <sheetView showGridLines="0" view="pageBreakPreview" zoomScale="110" zoomScaleNormal="100" zoomScaleSheetLayoutView="110" workbookViewId="0">
      <selection activeCell="D15" sqref="D15"/>
    </sheetView>
  </sheetViews>
  <sheetFormatPr defaultColWidth="9.140625" defaultRowHeight="12.75" x14ac:dyDescent="0.2"/>
  <cols>
    <col min="1" max="1" width="40.5703125" style="1" customWidth="1"/>
    <col min="2" max="2" width="15.85546875" style="1" customWidth="1"/>
    <col min="3" max="3" width="15.5703125" style="166" customWidth="1"/>
    <col min="4" max="4" width="15.7109375" style="166" customWidth="1"/>
    <col min="5" max="5" width="11.28515625" style="1" customWidth="1"/>
    <col min="6" max="6" width="10.85546875" style="1" customWidth="1"/>
    <col min="7" max="7" width="10.140625" style="1" bestFit="1" customWidth="1"/>
    <col min="8" max="16384" width="9.140625" style="1"/>
  </cols>
  <sheetData>
    <row r="1" spans="1:7" ht="20.25" x14ac:dyDescent="0.3">
      <c r="A1" s="527" t="s">
        <v>153</v>
      </c>
      <c r="B1" s="527"/>
      <c r="C1" s="527"/>
      <c r="D1" s="527"/>
      <c r="E1" s="527"/>
    </row>
    <row r="3" spans="1:7" x14ac:dyDescent="0.2">
      <c r="A3" s="522" t="s">
        <v>94</v>
      </c>
      <c r="B3" s="522"/>
      <c r="C3" s="522"/>
      <c r="D3" s="522"/>
      <c r="E3" s="522"/>
    </row>
    <row r="4" spans="1:7" ht="30.75" customHeight="1" x14ac:dyDescent="0.2">
      <c r="A4" s="522"/>
      <c r="B4" s="522"/>
      <c r="C4" s="522"/>
      <c r="D4" s="522"/>
      <c r="E4" s="522"/>
    </row>
    <row r="6" spans="1:7" ht="13.5" thickBot="1" x14ac:dyDescent="0.25">
      <c r="B6" s="9"/>
      <c r="C6" s="171"/>
      <c r="D6" s="167"/>
      <c r="E6" s="2" t="s">
        <v>0</v>
      </c>
    </row>
    <row r="7" spans="1:7" s="10" customFormat="1" ht="18.75" customHeight="1" thickTop="1" thickBot="1" x14ac:dyDescent="0.25">
      <c r="A7" s="257" t="s">
        <v>1</v>
      </c>
      <c r="B7" s="258" t="s">
        <v>11</v>
      </c>
      <c r="C7" s="258" t="s">
        <v>12</v>
      </c>
      <c r="D7" s="258" t="s">
        <v>4</v>
      </c>
      <c r="E7" s="259" t="s">
        <v>5</v>
      </c>
    </row>
    <row r="8" spans="1:7" s="4" customFormat="1" thickTop="1" thickBot="1" x14ac:dyDescent="0.25">
      <c r="A8" s="260">
        <v>1</v>
      </c>
      <c r="B8" s="258">
        <v>2</v>
      </c>
      <c r="C8" s="258">
        <v>3</v>
      </c>
      <c r="D8" s="258">
        <v>4</v>
      </c>
      <c r="E8" s="261" t="s">
        <v>95</v>
      </c>
    </row>
    <row r="9" spans="1:7" ht="18.95" customHeight="1" thickTop="1" x14ac:dyDescent="0.2">
      <c r="A9" s="220" t="s">
        <v>101</v>
      </c>
      <c r="B9" s="224">
        <v>7731270</v>
      </c>
      <c r="C9" s="229">
        <v>7731270</v>
      </c>
      <c r="D9" s="229">
        <v>1689449</v>
      </c>
      <c r="E9" s="474">
        <f>(D9/C9)*100</f>
        <v>21.852153656514389</v>
      </c>
    </row>
    <row r="10" spans="1:7" ht="18.95" customHeight="1" x14ac:dyDescent="0.2">
      <c r="A10" s="220" t="s">
        <v>102</v>
      </c>
      <c r="B10" s="225">
        <v>374097</v>
      </c>
      <c r="C10" s="229">
        <v>468762</v>
      </c>
      <c r="D10" s="229">
        <v>485649</v>
      </c>
      <c r="E10" s="475">
        <f t="shared" ref="E10:E14" si="0">(D10/C10)*100</f>
        <v>103.60246777682491</v>
      </c>
    </row>
    <row r="11" spans="1:7" ht="18.95" customHeight="1" x14ac:dyDescent="0.2">
      <c r="A11" s="289" t="s">
        <v>103</v>
      </c>
      <c r="B11" s="225">
        <v>4400</v>
      </c>
      <c r="C11" s="229">
        <v>5800</v>
      </c>
      <c r="D11" s="229">
        <v>1444</v>
      </c>
      <c r="E11" s="475">
        <f>(D11/C11)*100</f>
        <v>24.896551724137929</v>
      </c>
    </row>
    <row r="12" spans="1:7" ht="18.95" customHeight="1" x14ac:dyDescent="0.2">
      <c r="A12" s="221" t="s">
        <v>104</v>
      </c>
      <c r="B12" s="226">
        <v>15417868</v>
      </c>
      <c r="C12" s="230">
        <v>15659159</v>
      </c>
      <c r="D12" s="230">
        <v>13171681</v>
      </c>
      <c r="E12" s="475">
        <f t="shared" si="0"/>
        <v>84.114868493256893</v>
      </c>
      <c r="G12" s="11"/>
    </row>
    <row r="13" spans="1:7" ht="18.95" customHeight="1" x14ac:dyDescent="0.25">
      <c r="A13" s="12" t="s">
        <v>8</v>
      </c>
      <c r="B13" s="227">
        <f>SUM(B9:B12)</f>
        <v>23527635</v>
      </c>
      <c r="C13" s="231">
        <f>SUM(C9:C12)</f>
        <v>23864991</v>
      </c>
      <c r="D13" s="231">
        <f>SUM(D9:D12)</f>
        <v>15348223</v>
      </c>
      <c r="E13" s="476">
        <f t="shared" si="0"/>
        <v>64.312712290568214</v>
      </c>
    </row>
    <row r="14" spans="1:7" s="6" customFormat="1" ht="21.75" customHeight="1" x14ac:dyDescent="0.2">
      <c r="A14" s="7" t="s">
        <v>105</v>
      </c>
      <c r="B14" s="224">
        <v>15297</v>
      </c>
      <c r="C14" s="232">
        <v>15854</v>
      </c>
      <c r="D14" s="229">
        <v>7095393</v>
      </c>
      <c r="E14" s="475">
        <f t="shared" si="0"/>
        <v>44754.591901097512</v>
      </c>
    </row>
    <row r="15" spans="1:7" s="6" customFormat="1" ht="45.75" customHeight="1" thickBot="1" x14ac:dyDescent="0.3">
      <c r="A15" s="8" t="s">
        <v>7</v>
      </c>
      <c r="B15" s="228">
        <f>B13-B14</f>
        <v>23512338</v>
      </c>
      <c r="C15" s="233">
        <f>C13-C14</f>
        <v>23849137</v>
      </c>
      <c r="D15" s="233">
        <f>D13-D14</f>
        <v>8252830</v>
      </c>
      <c r="E15" s="477">
        <f>(D15/C15)*100</f>
        <v>34.604312935935582</v>
      </c>
    </row>
    <row r="16" spans="1:7" ht="13.5" thickTop="1" x14ac:dyDescent="0.2">
      <c r="A16" s="222"/>
      <c r="B16" s="222"/>
      <c r="C16" s="223"/>
      <c r="D16" s="223"/>
      <c r="E16" s="222"/>
    </row>
    <row r="17" spans="1:7" x14ac:dyDescent="0.2">
      <c r="A17" s="526" t="s">
        <v>124</v>
      </c>
      <c r="B17" s="526"/>
      <c r="C17" s="526"/>
      <c r="D17" s="526"/>
      <c r="E17" s="526"/>
    </row>
    <row r="18" spans="1:7" x14ac:dyDescent="0.2">
      <c r="A18" s="526"/>
      <c r="B18" s="526"/>
      <c r="C18" s="526"/>
      <c r="D18" s="526"/>
      <c r="E18" s="526"/>
      <c r="F18" s="13"/>
      <c r="G18" s="13"/>
    </row>
    <row r="19" spans="1:7" x14ac:dyDescent="0.2">
      <c r="A19" s="222"/>
      <c r="B19" s="222"/>
      <c r="C19" s="223"/>
      <c r="D19" s="223"/>
      <c r="E19" s="222"/>
      <c r="F19" s="13"/>
      <c r="G19" s="13"/>
    </row>
    <row r="20" spans="1:7" x14ac:dyDescent="0.2">
      <c r="A20" s="222"/>
      <c r="B20" s="222"/>
      <c r="C20" s="222"/>
      <c r="D20" s="222"/>
      <c r="E20" s="222"/>
      <c r="F20" s="13"/>
      <c r="G20" s="13"/>
    </row>
    <row r="21" spans="1:7" x14ac:dyDescent="0.2">
      <c r="A21" s="222"/>
      <c r="B21" s="338"/>
      <c r="C21" s="223"/>
      <c r="D21" s="223"/>
      <c r="E21" s="222"/>
    </row>
    <row r="24" spans="1:7" ht="21.75" customHeight="1" x14ac:dyDescent="0.2">
      <c r="B24" s="256"/>
      <c r="C24" s="256"/>
      <c r="D24" s="256"/>
    </row>
    <row r="25" spans="1:7" ht="28.5" customHeight="1" x14ac:dyDescent="0.2">
      <c r="B25" s="256"/>
      <c r="C25" s="256"/>
      <c r="D25" s="256"/>
    </row>
    <row r="27" spans="1:7" x14ac:dyDescent="0.2">
      <c r="C27" s="1"/>
      <c r="D27" s="1"/>
    </row>
  </sheetData>
  <mergeCells count="3">
    <mergeCell ref="A3:E4"/>
    <mergeCell ref="A17:E18"/>
    <mergeCell ref="A1:E1"/>
  </mergeCells>
  <phoneticPr fontId="5" type="noConversion"/>
  <pageMargins left="0.98425196850393704" right="0" top="0.98425196850393704" bottom="0.98425196850393704" header="0.51181102362204722" footer="0.51181102362204722"/>
  <pageSetup paperSize="9" scale="85" firstPageNumber="4" orientation="portrait" cellComments="asDisplayed" useFirstPageNumber="1" r:id="rId1"/>
  <headerFooter alignWithMargins="0">
    <oddFooter xml:space="preserve">&amp;L&amp;"Arial CE,Kurzíva"Zastupitelstvo Olomouckého kraje 28. 4. 2025
8.3. - Rozpočet Olomouckého kraje 2025 - plnění rozpočtu k 31. 3. 2025
Příloha č. 2 - Plnění rozpočtu Olomouckého kraje k 31. 3. 2025&amp;R&amp;"Arial CE,Kurzíva"Strana &amp;P (Celkem 8)
</oddFooter>
  </headerFooter>
  <ignoredErrors>
    <ignoredError sqref="B13:D13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24"/>
  </sheetPr>
  <dimension ref="A1:O125"/>
  <sheetViews>
    <sheetView showGridLines="0" view="pageBreakPreview" topLeftCell="A77" zoomScaleNormal="100" zoomScaleSheetLayoutView="100" workbookViewId="0">
      <selection activeCell="D87" sqref="D87"/>
    </sheetView>
  </sheetViews>
  <sheetFormatPr defaultColWidth="9.140625" defaultRowHeight="14.25" x14ac:dyDescent="0.2"/>
  <cols>
    <col min="1" max="1" width="53.42578125" style="219" customWidth="1"/>
    <col min="2" max="2" width="5.140625" style="109" customWidth="1"/>
    <col min="3" max="3" width="15.42578125" style="121" customWidth="1"/>
    <col min="4" max="4" width="15" style="121" customWidth="1"/>
    <col min="5" max="5" width="15.5703125" style="121" customWidth="1"/>
    <col min="6" max="6" width="10.5703125" style="121" customWidth="1"/>
    <col min="7" max="8" width="16.28515625" style="20" customWidth="1"/>
    <col min="9" max="9" width="16.7109375" style="20" customWidth="1"/>
    <col min="10" max="10" width="18.140625" style="15" customWidth="1"/>
    <col min="11" max="11" width="21" style="21" customWidth="1"/>
    <col min="12" max="12" width="2.7109375" style="17" customWidth="1"/>
    <col min="13" max="13" width="16.5703125" style="17" customWidth="1"/>
    <col min="14" max="14" width="17.5703125" style="16" customWidth="1"/>
    <col min="15" max="16" width="9.140625" style="17"/>
    <col min="17" max="17" width="11.140625" style="17" bestFit="1" customWidth="1"/>
    <col min="18" max="16384" width="9.140625" style="17"/>
  </cols>
  <sheetData>
    <row r="1" spans="1:14" ht="23.25" x14ac:dyDescent="0.35">
      <c r="A1" s="532" t="s">
        <v>154</v>
      </c>
      <c r="B1" s="533"/>
      <c r="C1" s="533"/>
      <c r="D1" s="533"/>
      <c r="E1" s="533"/>
      <c r="F1" s="533"/>
      <c r="G1" s="14"/>
      <c r="H1" s="14"/>
      <c r="I1" s="14"/>
      <c r="K1" s="16"/>
    </row>
    <row r="2" spans="1:14" ht="23.25" x14ac:dyDescent="0.35">
      <c r="A2" s="534"/>
      <c r="B2" s="534"/>
      <c r="C2" s="534"/>
      <c r="D2" s="534"/>
      <c r="E2" s="534"/>
      <c r="F2" s="534"/>
      <c r="G2" s="18"/>
      <c r="H2" s="18"/>
      <c r="I2" s="18"/>
      <c r="K2" s="16"/>
    </row>
    <row r="3" spans="1:14" ht="15" thickBot="1" x14ac:dyDescent="0.25">
      <c r="F3" s="288" t="s">
        <v>0</v>
      </c>
      <c r="G3" s="23"/>
      <c r="H3" s="23"/>
      <c r="I3" s="23"/>
    </row>
    <row r="4" spans="1:14" s="25" customFormat="1" ht="24" thickTop="1" thickBot="1" x14ac:dyDescent="0.25">
      <c r="A4" s="262" t="s">
        <v>9</v>
      </c>
      <c r="B4" s="263" t="s">
        <v>10</v>
      </c>
      <c r="C4" s="264" t="s">
        <v>11</v>
      </c>
      <c r="D4" s="264" t="s">
        <v>12</v>
      </c>
      <c r="E4" s="264" t="s">
        <v>4</v>
      </c>
      <c r="F4" s="265" t="s">
        <v>5</v>
      </c>
      <c r="G4" s="24"/>
      <c r="H4" s="24"/>
      <c r="I4" s="24"/>
      <c r="J4" s="73"/>
      <c r="K4" s="66"/>
      <c r="N4" s="26"/>
    </row>
    <row r="5" spans="1:14" s="25" customFormat="1" thickTop="1" thickBot="1" x14ac:dyDescent="0.25">
      <c r="A5" s="260">
        <v>1</v>
      </c>
      <c r="B5" s="258">
        <v>2</v>
      </c>
      <c r="C5" s="258">
        <v>3</v>
      </c>
      <c r="D5" s="258">
        <v>4</v>
      </c>
      <c r="E5" s="258">
        <v>5</v>
      </c>
      <c r="F5" s="266" t="s">
        <v>96</v>
      </c>
      <c r="G5" s="24"/>
      <c r="H5" s="24"/>
      <c r="I5" s="24"/>
      <c r="J5" s="73"/>
      <c r="K5" s="66"/>
      <c r="N5" s="26"/>
    </row>
    <row r="6" spans="1:14" s="19" customFormat="1" ht="15.75" thickTop="1" x14ac:dyDescent="0.25">
      <c r="A6" s="455" t="s">
        <v>13</v>
      </c>
      <c r="B6" s="110">
        <v>1</v>
      </c>
      <c r="C6" s="83">
        <f>SUM(C7:C9)</f>
        <v>49107</v>
      </c>
      <c r="D6" s="83">
        <f t="shared" ref="D6:E6" si="0">SUM(D7:D9)</f>
        <v>48997</v>
      </c>
      <c r="E6" s="83">
        <f t="shared" si="0"/>
        <v>7944</v>
      </c>
      <c r="F6" s="478">
        <f t="shared" ref="F6:F35" si="1">(E6/D6)*100</f>
        <v>16.213237545155827</v>
      </c>
      <c r="G6" s="27"/>
      <c r="H6" s="27"/>
      <c r="I6" s="27"/>
      <c r="J6" s="190"/>
      <c r="K6" s="67"/>
      <c r="N6" s="245"/>
    </row>
    <row r="7" spans="1:14" s="32" customFormat="1" x14ac:dyDescent="0.2">
      <c r="A7" s="28" t="s">
        <v>108</v>
      </c>
      <c r="B7" s="297"/>
      <c r="C7" s="30">
        <f>49107-C9</f>
        <v>48398</v>
      </c>
      <c r="D7" s="30">
        <f>48997-D9</f>
        <v>48288</v>
      </c>
      <c r="E7" s="30">
        <f>7944-E9</f>
        <v>7630</v>
      </c>
      <c r="F7" s="479">
        <f t="shared" si="1"/>
        <v>15.801027170311466</v>
      </c>
      <c r="G7" s="31"/>
      <c r="H7" s="31"/>
      <c r="I7" s="31"/>
      <c r="J7" s="190"/>
      <c r="K7" s="55"/>
      <c r="N7" s="33"/>
    </row>
    <row r="8" spans="1:14" s="32" customFormat="1" x14ac:dyDescent="0.2">
      <c r="A8" s="28" t="s">
        <v>106</v>
      </c>
      <c r="B8" s="454"/>
      <c r="C8" s="30">
        <v>0</v>
      </c>
      <c r="D8" s="30">
        <v>0</v>
      </c>
      <c r="E8" s="30">
        <v>0</v>
      </c>
      <c r="F8" s="479">
        <v>0</v>
      </c>
      <c r="G8" s="31"/>
      <c r="H8" s="31"/>
      <c r="I8" s="31"/>
      <c r="J8" s="190"/>
      <c r="K8" s="55"/>
      <c r="N8" s="33"/>
    </row>
    <row r="9" spans="1:14" s="32" customFormat="1" x14ac:dyDescent="0.2">
      <c r="A9" s="449" t="s">
        <v>107</v>
      </c>
      <c r="B9" s="299"/>
      <c r="C9" s="322">
        <v>709</v>
      </c>
      <c r="D9" s="322">
        <v>709</v>
      </c>
      <c r="E9" s="322">
        <v>314</v>
      </c>
      <c r="F9" s="480">
        <f t="shared" si="1"/>
        <v>44.287729196050776</v>
      </c>
      <c r="G9" s="31"/>
      <c r="H9" s="31"/>
      <c r="I9" s="31"/>
      <c r="J9" s="31"/>
      <c r="K9" s="55"/>
      <c r="N9" s="33"/>
    </row>
    <row r="10" spans="1:14" s="35" customFormat="1" ht="15" x14ac:dyDescent="0.25">
      <c r="A10" s="300" t="s">
        <v>150</v>
      </c>
      <c r="B10" s="456">
        <v>2</v>
      </c>
      <c r="C10" s="321">
        <f>SUM(C11:C13)</f>
        <v>492350</v>
      </c>
      <c r="D10" s="321">
        <f>SUM(D11:D13)</f>
        <v>511461</v>
      </c>
      <c r="E10" s="321">
        <f>SUM(E11:E13)</f>
        <v>71808</v>
      </c>
      <c r="F10" s="478">
        <f t="shared" ref="F10:F11" si="2">(E10/D10)*100</f>
        <v>14.039780159191023</v>
      </c>
      <c r="G10" s="246"/>
      <c r="H10" s="27"/>
      <c r="I10" s="27"/>
      <c r="J10" s="27"/>
      <c r="K10" s="67"/>
      <c r="N10" s="36"/>
    </row>
    <row r="11" spans="1:14" s="35" customFormat="1" x14ac:dyDescent="0.2">
      <c r="A11" s="28" t="s">
        <v>108</v>
      </c>
      <c r="B11" s="37"/>
      <c r="C11" s="30">
        <f>492350-C13</f>
        <v>477762</v>
      </c>
      <c r="D11" s="30">
        <f>511461-D13</f>
        <v>496316</v>
      </c>
      <c r="E11" s="30">
        <f>71808-E13</f>
        <v>65508</v>
      </c>
      <c r="F11" s="479">
        <f t="shared" si="2"/>
        <v>13.198849120318506</v>
      </c>
      <c r="G11" s="31"/>
      <c r="H11" s="31"/>
      <c r="I11" s="31"/>
      <c r="J11" s="31"/>
      <c r="K11" s="55"/>
      <c r="N11" s="36"/>
    </row>
    <row r="12" spans="1:14" s="35" customFormat="1" x14ac:dyDescent="0.2">
      <c r="A12" s="28" t="s">
        <v>106</v>
      </c>
      <c r="B12" s="37"/>
      <c r="C12" s="30">
        <v>0</v>
      </c>
      <c r="D12" s="30">
        <v>0</v>
      </c>
      <c r="E12" s="30">
        <v>0</v>
      </c>
      <c r="F12" s="479">
        <v>0</v>
      </c>
      <c r="G12" s="31"/>
      <c r="H12" s="31"/>
      <c r="I12" s="31"/>
      <c r="J12" s="31"/>
      <c r="K12" s="55"/>
      <c r="N12" s="36"/>
    </row>
    <row r="13" spans="1:14" s="32" customFormat="1" x14ac:dyDescent="0.2">
      <c r="A13" s="449" t="s">
        <v>107</v>
      </c>
      <c r="B13" s="297"/>
      <c r="C13" s="30">
        <v>14588</v>
      </c>
      <c r="D13" s="30">
        <v>15145</v>
      </c>
      <c r="E13" s="30">
        <v>6300</v>
      </c>
      <c r="F13" s="480">
        <f t="shared" ref="F13" si="3">(E13/D13)*100</f>
        <v>41.597887091449323</v>
      </c>
      <c r="G13" s="31"/>
      <c r="H13" s="31"/>
      <c r="I13" s="31"/>
      <c r="J13" s="31"/>
      <c r="K13" s="55"/>
      <c r="N13" s="33"/>
    </row>
    <row r="14" spans="1:14" s="35" customFormat="1" ht="15" x14ac:dyDescent="0.25">
      <c r="A14" s="300" t="s">
        <v>85</v>
      </c>
      <c r="B14" s="456">
        <v>3</v>
      </c>
      <c r="C14" s="321">
        <f>SUM(C15:C16)</f>
        <v>162946</v>
      </c>
      <c r="D14" s="321">
        <f>SUM(D15:D16)</f>
        <v>162995</v>
      </c>
      <c r="E14" s="321">
        <f>SUM(E15:E16)</f>
        <v>26402</v>
      </c>
      <c r="F14" s="478">
        <f t="shared" si="1"/>
        <v>16.198042884751064</v>
      </c>
      <c r="G14" s="246"/>
      <c r="H14" s="27"/>
      <c r="I14" s="27"/>
      <c r="J14" s="27"/>
      <c r="K14" s="67"/>
      <c r="N14" s="36"/>
    </row>
    <row r="15" spans="1:14" s="35" customFormat="1" x14ac:dyDescent="0.2">
      <c r="A15" s="28" t="s">
        <v>108</v>
      </c>
      <c r="B15" s="37"/>
      <c r="C15" s="30">
        <v>133443</v>
      </c>
      <c r="D15" s="30">
        <v>133492</v>
      </c>
      <c r="E15" s="30">
        <v>23944</v>
      </c>
      <c r="F15" s="479">
        <f t="shared" si="1"/>
        <v>17.936655380097683</v>
      </c>
      <c r="G15" s="31"/>
      <c r="H15" s="31"/>
      <c r="I15" s="31"/>
      <c r="J15" s="31"/>
      <c r="K15" s="55"/>
      <c r="N15" s="36"/>
    </row>
    <row r="16" spans="1:14" s="35" customFormat="1" x14ac:dyDescent="0.2">
      <c r="A16" s="28" t="s">
        <v>106</v>
      </c>
      <c r="B16" s="37"/>
      <c r="C16" s="30">
        <v>29503</v>
      </c>
      <c r="D16" s="30">
        <v>29503</v>
      </c>
      <c r="E16" s="30">
        <v>2458</v>
      </c>
      <c r="F16" s="480">
        <f>(E16/D16)*100</f>
        <v>8.331356133274582</v>
      </c>
      <c r="G16" s="31"/>
      <c r="H16" s="31"/>
      <c r="I16" s="31"/>
      <c r="J16" s="31"/>
      <c r="K16" s="55"/>
      <c r="N16" s="36"/>
    </row>
    <row r="17" spans="1:14" s="35" customFormat="1" ht="16.5" customHeight="1" x14ac:dyDescent="0.25">
      <c r="A17" s="307" t="s">
        <v>86</v>
      </c>
      <c r="B17" s="456">
        <v>4</v>
      </c>
      <c r="C17" s="321">
        <f>SUM(C18:C19)</f>
        <v>57017</v>
      </c>
      <c r="D17" s="321">
        <f t="shared" ref="D17:E17" si="4">SUM(D18:D19)</f>
        <v>57017</v>
      </c>
      <c r="E17" s="321">
        <f t="shared" si="4"/>
        <v>15957</v>
      </c>
      <c r="F17" s="478">
        <f t="shared" si="1"/>
        <v>27.986390024027923</v>
      </c>
      <c r="G17" s="246"/>
      <c r="H17" s="27"/>
      <c r="I17" s="27"/>
      <c r="J17" s="27"/>
      <c r="K17" s="67"/>
      <c r="N17" s="36"/>
    </row>
    <row r="18" spans="1:14" s="35" customFormat="1" x14ac:dyDescent="0.2">
      <c r="A18" s="28" t="s">
        <v>108</v>
      </c>
      <c r="B18" s="37"/>
      <c r="C18" s="30">
        <v>47427</v>
      </c>
      <c r="D18" s="30">
        <v>47427</v>
      </c>
      <c r="E18" s="30">
        <v>12172</v>
      </c>
      <c r="F18" s="479">
        <f t="shared" si="1"/>
        <v>25.664705758323318</v>
      </c>
      <c r="G18" s="31"/>
      <c r="H18" s="31"/>
      <c r="I18" s="31"/>
      <c r="J18" s="31"/>
      <c r="K18" s="55"/>
      <c r="N18" s="36"/>
    </row>
    <row r="19" spans="1:14" s="35" customFormat="1" x14ac:dyDescent="0.2">
      <c r="A19" s="28" t="s">
        <v>106</v>
      </c>
      <c r="B19" s="37"/>
      <c r="C19" s="30">
        <v>9590</v>
      </c>
      <c r="D19" s="30">
        <v>9590</v>
      </c>
      <c r="E19" s="30">
        <v>3785</v>
      </c>
      <c r="F19" s="480">
        <f t="shared" si="1"/>
        <v>39.468196037539101</v>
      </c>
      <c r="G19" s="31"/>
      <c r="H19" s="31"/>
      <c r="I19" s="31"/>
      <c r="J19" s="31"/>
      <c r="K19" s="55"/>
      <c r="N19" s="36"/>
    </row>
    <row r="20" spans="1:14" s="35" customFormat="1" ht="15" x14ac:dyDescent="0.25">
      <c r="A20" s="300" t="s">
        <v>118</v>
      </c>
      <c r="B20" s="456">
        <v>6</v>
      </c>
      <c r="C20" s="321">
        <f>SUM(C21:C22)</f>
        <v>79842</v>
      </c>
      <c r="D20" s="321">
        <f>SUM(D21:D22)</f>
        <v>79842</v>
      </c>
      <c r="E20" s="321">
        <f>SUM(E21:E22)</f>
        <v>12181</v>
      </c>
      <c r="F20" s="478">
        <f t="shared" ref="F20" si="5">(E20/D20)*100</f>
        <v>15.256381353172516</v>
      </c>
      <c r="G20" s="31"/>
      <c r="H20" s="31"/>
      <c r="I20" s="31"/>
      <c r="J20" s="31"/>
      <c r="K20" s="55"/>
      <c r="N20" s="36"/>
    </row>
    <row r="21" spans="1:14" s="35" customFormat="1" x14ac:dyDescent="0.2">
      <c r="A21" s="28" t="s">
        <v>108</v>
      </c>
      <c r="B21" s="37"/>
      <c r="C21" s="30">
        <v>52428</v>
      </c>
      <c r="D21" s="30">
        <v>52428</v>
      </c>
      <c r="E21" s="30">
        <v>9084</v>
      </c>
      <c r="F21" s="479">
        <f>(E21/D21)*100</f>
        <v>17.326619363698786</v>
      </c>
      <c r="G21" s="31"/>
      <c r="H21" s="31"/>
      <c r="I21" s="31"/>
      <c r="J21" s="31"/>
      <c r="K21" s="55"/>
      <c r="N21" s="36"/>
    </row>
    <row r="22" spans="1:14" s="35" customFormat="1" x14ac:dyDescent="0.2">
      <c r="A22" s="28" t="s">
        <v>106</v>
      </c>
      <c r="B22" s="37"/>
      <c r="C22" s="30">
        <v>27414</v>
      </c>
      <c r="D22" s="30">
        <v>27414</v>
      </c>
      <c r="E22" s="30">
        <v>3097</v>
      </c>
      <c r="F22" s="480">
        <f t="shared" ref="F22" si="6">(E22/D22)*100</f>
        <v>11.297147442912381</v>
      </c>
      <c r="G22" s="31"/>
      <c r="H22" s="31"/>
      <c r="I22" s="31"/>
      <c r="J22" s="31"/>
      <c r="K22" s="55"/>
      <c r="N22" s="36"/>
    </row>
    <row r="23" spans="1:14" s="35" customFormat="1" ht="15" x14ac:dyDescent="0.25">
      <c r="A23" s="300" t="s">
        <v>19</v>
      </c>
      <c r="B23" s="456">
        <v>7</v>
      </c>
      <c r="C23" s="321">
        <f>SUM(C24:C27)</f>
        <v>308127</v>
      </c>
      <c r="D23" s="321">
        <f>SUM(D24:D27)</f>
        <v>277173</v>
      </c>
      <c r="E23" s="321">
        <f t="shared" ref="E23" si="7">SUM(E24:E27)</f>
        <v>6992362</v>
      </c>
      <c r="F23" s="478">
        <f t="shared" si="1"/>
        <v>2522.7428357018903</v>
      </c>
      <c r="G23" s="27"/>
      <c r="H23" s="27"/>
      <c r="I23" s="27"/>
      <c r="J23" s="27"/>
      <c r="K23" s="67"/>
      <c r="N23" s="36"/>
    </row>
    <row r="24" spans="1:14" s="35" customFormat="1" x14ac:dyDescent="0.2">
      <c r="A24" s="28" t="s">
        <v>108</v>
      </c>
      <c r="B24" s="37"/>
      <c r="C24" s="30">
        <f>308127-C27-C26</f>
        <v>213836</v>
      </c>
      <c r="D24" s="30">
        <f>277173-D27-D26</f>
        <v>212139</v>
      </c>
      <c r="E24" s="30">
        <f>6992362-E27-E26</f>
        <v>29415</v>
      </c>
      <c r="F24" s="479">
        <f>(E24/D24)*100</f>
        <v>13.865908673086984</v>
      </c>
      <c r="G24" s="85"/>
      <c r="H24" s="31"/>
      <c r="I24" s="31"/>
      <c r="J24" s="31"/>
      <c r="K24" s="55"/>
      <c r="N24" s="36"/>
    </row>
    <row r="25" spans="1:14" s="35" customFormat="1" x14ac:dyDescent="0.2">
      <c r="A25" s="28" t="s">
        <v>106</v>
      </c>
      <c r="B25" s="37"/>
      <c r="C25" s="30">
        <v>0</v>
      </c>
      <c r="D25" s="30">
        <v>0</v>
      </c>
      <c r="E25" s="30">
        <v>0</v>
      </c>
      <c r="F25" s="479">
        <v>0</v>
      </c>
      <c r="G25" s="31"/>
      <c r="H25" s="31"/>
      <c r="I25" s="31"/>
      <c r="J25" s="31"/>
      <c r="K25" s="55"/>
      <c r="N25" s="36"/>
    </row>
    <row r="26" spans="1:14" s="32" customFormat="1" x14ac:dyDescent="0.2">
      <c r="A26" s="452" t="s">
        <v>109</v>
      </c>
      <c r="B26" s="297"/>
      <c r="C26" s="30">
        <v>94291</v>
      </c>
      <c r="D26" s="30">
        <v>65034</v>
      </c>
      <c r="E26" s="30">
        <v>0</v>
      </c>
      <c r="F26" s="479">
        <v>0</v>
      </c>
      <c r="G26" s="31"/>
      <c r="H26" s="31"/>
      <c r="I26" s="31"/>
      <c r="J26" s="31"/>
      <c r="K26" s="55"/>
      <c r="N26" s="33"/>
    </row>
    <row r="27" spans="1:14" s="32" customFormat="1" x14ac:dyDescent="0.2">
      <c r="A27" s="449" t="s">
        <v>107</v>
      </c>
      <c r="B27" s="299"/>
      <c r="C27" s="322">
        <v>0</v>
      </c>
      <c r="D27" s="322">
        <v>0</v>
      </c>
      <c r="E27" s="322">
        <v>6962947</v>
      </c>
      <c r="F27" s="480">
        <v>0</v>
      </c>
      <c r="G27" s="31"/>
      <c r="H27" s="31"/>
      <c r="I27" s="31"/>
      <c r="J27" s="31"/>
      <c r="K27" s="55"/>
      <c r="N27" s="33"/>
    </row>
    <row r="28" spans="1:14" s="35" customFormat="1" ht="15" x14ac:dyDescent="0.25">
      <c r="A28" s="448" t="s">
        <v>87</v>
      </c>
      <c r="B28" s="37">
        <v>8</v>
      </c>
      <c r="C28" s="323">
        <f>SUM(C29:C31)</f>
        <v>164816</v>
      </c>
      <c r="D28" s="323">
        <f t="shared" ref="D28" si="8">SUM(D29:D31)</f>
        <v>224816</v>
      </c>
      <c r="E28" s="323">
        <f>SUM(E29:E31)</f>
        <v>5979</v>
      </c>
      <c r="F28" s="478">
        <f>(E28/D28)*100</f>
        <v>2.6595082200555122</v>
      </c>
      <c r="G28" s="27"/>
      <c r="H28" s="27"/>
      <c r="I28" s="27"/>
      <c r="J28" s="27"/>
      <c r="K28" s="67"/>
      <c r="N28" s="36"/>
    </row>
    <row r="29" spans="1:14" s="35" customFormat="1" x14ac:dyDescent="0.2">
      <c r="A29" s="28" t="s">
        <v>108</v>
      </c>
      <c r="B29" s="37"/>
      <c r="C29" s="30">
        <f>164816-C31-C30</f>
        <v>55840</v>
      </c>
      <c r="D29" s="30">
        <f>224816-D31-D30</f>
        <v>118090</v>
      </c>
      <c r="E29" s="30">
        <f>5979-E31-E30</f>
        <v>4729</v>
      </c>
      <c r="F29" s="479">
        <f t="shared" si="1"/>
        <v>4.0045727834702349</v>
      </c>
      <c r="G29" s="31"/>
      <c r="H29" s="31"/>
      <c r="I29" s="31"/>
      <c r="J29" s="31"/>
      <c r="K29" s="55"/>
      <c r="N29" s="36"/>
    </row>
    <row r="30" spans="1:14" s="35" customFormat="1" x14ac:dyDescent="0.2">
      <c r="A30" s="28" t="s">
        <v>106</v>
      </c>
      <c r="B30" s="37"/>
      <c r="C30" s="30">
        <v>10000</v>
      </c>
      <c r="D30" s="30">
        <v>7500</v>
      </c>
      <c r="E30" s="30">
        <v>1000</v>
      </c>
      <c r="F30" s="479">
        <f t="shared" si="1"/>
        <v>13.333333333333334</v>
      </c>
      <c r="G30" s="31"/>
      <c r="H30" s="31"/>
      <c r="I30" s="31"/>
      <c r="J30" s="31"/>
      <c r="K30" s="55"/>
      <c r="N30" s="36"/>
    </row>
    <row r="31" spans="1:14" s="32" customFormat="1" x14ac:dyDescent="0.2">
      <c r="A31" s="449" t="s">
        <v>109</v>
      </c>
      <c r="B31" s="299"/>
      <c r="C31" s="322">
        <v>98976</v>
      </c>
      <c r="D31" s="322">
        <v>99226</v>
      </c>
      <c r="E31" s="322">
        <v>250</v>
      </c>
      <c r="F31" s="480">
        <f t="shared" si="1"/>
        <v>0.25195009372543486</v>
      </c>
      <c r="G31" s="31"/>
      <c r="H31" s="31"/>
      <c r="I31" s="31"/>
      <c r="J31" s="190"/>
      <c r="K31" s="55"/>
      <c r="N31" s="33"/>
    </row>
    <row r="32" spans="1:14" ht="15" customHeight="1" x14ac:dyDescent="0.25">
      <c r="A32" s="448" t="s">
        <v>20</v>
      </c>
      <c r="B32" s="37">
        <v>9</v>
      </c>
      <c r="C32" s="323">
        <f>SUM(C33:C35)</f>
        <v>319465</v>
      </c>
      <c r="D32" s="323">
        <f t="shared" ref="D32" si="9">SUM(D33:D35)</f>
        <v>320167</v>
      </c>
      <c r="E32" s="323">
        <f>SUM(E33:E35)</f>
        <v>355</v>
      </c>
      <c r="F32" s="478">
        <f t="shared" si="1"/>
        <v>0.11087963469064582</v>
      </c>
      <c r="G32" s="246"/>
      <c r="H32" s="27"/>
      <c r="I32" s="27"/>
      <c r="J32" s="190"/>
      <c r="K32" s="67"/>
    </row>
    <row r="33" spans="1:15" ht="15" customHeight="1" x14ac:dyDescent="0.2">
      <c r="A33" s="28" t="s">
        <v>108</v>
      </c>
      <c r="B33" s="37"/>
      <c r="C33" s="491">
        <f>273666-C35</f>
        <v>259466</v>
      </c>
      <c r="D33" s="491">
        <f>274368-D35</f>
        <v>260168</v>
      </c>
      <c r="E33" s="491">
        <f>355-E35</f>
        <v>355</v>
      </c>
      <c r="F33" s="479">
        <f>(E33/D33)*100</f>
        <v>0.13645029365640665</v>
      </c>
      <c r="G33" s="31"/>
      <c r="H33" s="31"/>
      <c r="I33" s="31"/>
      <c r="J33" s="190"/>
      <c r="K33" s="55"/>
    </row>
    <row r="34" spans="1:15" ht="15" customHeight="1" x14ac:dyDescent="0.2">
      <c r="A34" s="28" t="s">
        <v>106</v>
      </c>
      <c r="B34" s="37"/>
      <c r="C34" s="30">
        <v>45799</v>
      </c>
      <c r="D34" s="491">
        <v>45799</v>
      </c>
      <c r="E34" s="30">
        <v>0</v>
      </c>
      <c r="F34" s="479">
        <v>0</v>
      </c>
      <c r="G34" s="31"/>
      <c r="H34" s="31"/>
      <c r="I34" s="85"/>
      <c r="J34" s="85"/>
      <c r="K34" s="55"/>
    </row>
    <row r="35" spans="1:15" s="32" customFormat="1" x14ac:dyDescent="0.2">
      <c r="A35" s="449" t="s">
        <v>109</v>
      </c>
      <c r="B35" s="299"/>
      <c r="C35" s="322">
        <v>14200</v>
      </c>
      <c r="D35" s="492">
        <v>14200</v>
      </c>
      <c r="E35" s="492">
        <v>0</v>
      </c>
      <c r="F35" s="479">
        <f t="shared" si="1"/>
        <v>0</v>
      </c>
      <c r="G35" s="31"/>
      <c r="H35" s="247"/>
      <c r="I35" s="247"/>
      <c r="J35" s="247"/>
      <c r="K35" s="55"/>
      <c r="N35" s="33"/>
    </row>
    <row r="36" spans="1:15" s="48" customFormat="1" ht="15" x14ac:dyDescent="0.25">
      <c r="A36" s="307" t="s">
        <v>98</v>
      </c>
      <c r="B36" s="308">
        <v>10</v>
      </c>
      <c r="C36" s="321">
        <f>C37+C41+C44</f>
        <v>13360036</v>
      </c>
      <c r="D36" s="321">
        <f>D37+D41+D44</f>
        <v>13436885</v>
      </c>
      <c r="E36" s="321">
        <f>E37+E41+E44</f>
        <v>2538999</v>
      </c>
      <c r="F36" s="481">
        <f t="shared" ref="F36:F62" si="10">(E36/D36)*100</f>
        <v>18.895741088801461</v>
      </c>
      <c r="G36" s="27"/>
      <c r="H36" s="67"/>
      <c r="I36" s="67"/>
      <c r="J36" s="190"/>
      <c r="K36" s="67"/>
      <c r="N36" s="248"/>
    </row>
    <row r="37" spans="1:15" s="48" customFormat="1" x14ac:dyDescent="0.2">
      <c r="A37" s="296" t="s">
        <v>21</v>
      </c>
      <c r="B37" s="295"/>
      <c r="C37" s="324">
        <f>C38+C39+C40</f>
        <v>34876</v>
      </c>
      <c r="D37" s="324">
        <f>D38+D39+D40</f>
        <v>42338</v>
      </c>
      <c r="E37" s="324">
        <f>E38+E39+E40</f>
        <v>19629</v>
      </c>
      <c r="F37" s="479">
        <f t="shared" si="10"/>
        <v>46.362605697009776</v>
      </c>
      <c r="G37" s="31"/>
      <c r="H37" s="31"/>
      <c r="I37" s="31"/>
      <c r="J37" s="69"/>
      <c r="K37" s="249"/>
      <c r="L37" s="76"/>
      <c r="M37" s="76"/>
      <c r="N37" s="69"/>
      <c r="O37" s="76"/>
    </row>
    <row r="38" spans="1:15" s="48" customFormat="1" x14ac:dyDescent="0.2">
      <c r="A38" s="28" t="s">
        <v>108</v>
      </c>
      <c r="B38" s="457"/>
      <c r="C38" s="30">
        <v>11476</v>
      </c>
      <c r="D38" s="30">
        <v>18809</v>
      </c>
      <c r="E38" s="30">
        <v>8589</v>
      </c>
      <c r="F38" s="479">
        <f t="shared" si="10"/>
        <v>45.664309639002603</v>
      </c>
      <c r="G38" s="31"/>
      <c r="H38" s="31"/>
      <c r="I38" s="31"/>
      <c r="J38" s="69"/>
      <c r="K38" s="55"/>
      <c r="L38" s="41"/>
      <c r="M38" s="76"/>
      <c r="N38" s="69"/>
      <c r="O38" s="76"/>
    </row>
    <row r="39" spans="1:15" s="48" customFormat="1" x14ac:dyDescent="0.2">
      <c r="A39" s="28" t="s">
        <v>106</v>
      </c>
      <c r="B39" s="458"/>
      <c r="C39" s="30">
        <v>0</v>
      </c>
      <c r="D39" s="30">
        <v>0</v>
      </c>
      <c r="E39" s="30">
        <v>0</v>
      </c>
      <c r="F39" s="479">
        <v>0</v>
      </c>
      <c r="G39" s="31"/>
      <c r="H39" s="31"/>
      <c r="I39" s="31"/>
      <c r="J39" s="69"/>
      <c r="K39" s="55"/>
      <c r="L39" s="250"/>
      <c r="M39" s="76"/>
      <c r="N39" s="69"/>
      <c r="O39" s="76"/>
    </row>
    <row r="40" spans="1:15" s="48" customFormat="1" x14ac:dyDescent="0.2">
      <c r="A40" s="452" t="s">
        <v>109</v>
      </c>
      <c r="B40" s="458"/>
      <c r="C40" s="30">
        <v>23400</v>
      </c>
      <c r="D40" s="30">
        <v>23529</v>
      </c>
      <c r="E40" s="30">
        <v>11040</v>
      </c>
      <c r="F40" s="479">
        <f>(E40/D40)*100</f>
        <v>46.920821114369502</v>
      </c>
      <c r="G40" s="31"/>
      <c r="H40" s="31"/>
      <c r="I40" s="31"/>
      <c r="J40" s="69"/>
      <c r="K40" s="55"/>
      <c r="L40" s="250"/>
      <c r="M40" s="76"/>
      <c r="N40" s="69"/>
      <c r="O40" s="76"/>
    </row>
    <row r="41" spans="1:15" s="48" customFormat="1" x14ac:dyDescent="0.2">
      <c r="A41" s="51" t="s">
        <v>22</v>
      </c>
      <c r="B41" s="458"/>
      <c r="C41" s="324">
        <f>C42+C43</f>
        <v>4690573</v>
      </c>
      <c r="D41" s="324">
        <f>D42+D43</f>
        <v>4757686</v>
      </c>
      <c r="E41" s="324">
        <f>E42+E43</f>
        <v>887436</v>
      </c>
      <c r="F41" s="479">
        <f t="shared" si="10"/>
        <v>18.65268115634365</v>
      </c>
      <c r="G41" s="31"/>
      <c r="H41" s="31"/>
      <c r="I41" s="31"/>
      <c r="J41" s="190"/>
      <c r="K41" s="249"/>
      <c r="L41" s="76"/>
      <c r="M41" s="76"/>
      <c r="N41" s="69"/>
      <c r="O41" s="76"/>
    </row>
    <row r="42" spans="1:15" s="48" customFormat="1" x14ac:dyDescent="0.2">
      <c r="A42" s="28" t="s">
        <v>108</v>
      </c>
      <c r="B42" s="458"/>
      <c r="C42" s="30">
        <f>4678076-2400</f>
        <v>4675676</v>
      </c>
      <c r="D42" s="30">
        <f>4724061-376</f>
        <v>4723685</v>
      </c>
      <c r="E42" s="30">
        <f>877835-0</f>
        <v>877835</v>
      </c>
      <c r="F42" s="479">
        <f t="shared" si="10"/>
        <v>18.583690487405491</v>
      </c>
      <c r="G42" s="251"/>
      <c r="H42" s="251"/>
      <c r="I42" s="31"/>
      <c r="J42" s="190"/>
      <c r="K42" s="55"/>
      <c r="L42" s="76"/>
      <c r="M42" s="76"/>
      <c r="N42" s="69"/>
      <c r="O42" s="76"/>
    </row>
    <row r="43" spans="1:15" s="48" customFormat="1" x14ac:dyDescent="0.2">
      <c r="A43" s="28" t="s">
        <v>106</v>
      </c>
      <c r="B43" s="458"/>
      <c r="C43" s="30">
        <v>14897</v>
      </c>
      <c r="D43" s="30">
        <v>34001</v>
      </c>
      <c r="E43" s="30">
        <v>9601</v>
      </c>
      <c r="F43" s="479">
        <f t="shared" si="10"/>
        <v>28.237404782212288</v>
      </c>
      <c r="G43" s="31"/>
      <c r="H43" s="31"/>
      <c r="I43" s="31"/>
      <c r="J43" s="190"/>
      <c r="K43" s="55"/>
      <c r="L43" s="76"/>
      <c r="M43" s="76"/>
      <c r="N43" s="69"/>
      <c r="O43" s="76"/>
    </row>
    <row r="44" spans="1:15" s="48" customFormat="1" x14ac:dyDescent="0.2">
      <c r="A44" s="459" t="s">
        <v>117</v>
      </c>
      <c r="B44" s="458"/>
      <c r="C44" s="493">
        <f>C45+C46</f>
        <v>8634587</v>
      </c>
      <c r="D44" s="493">
        <f t="shared" ref="D44:E44" si="11">D45+D46</f>
        <v>8636861</v>
      </c>
      <c r="E44" s="493">
        <f t="shared" si="11"/>
        <v>1631934</v>
      </c>
      <c r="F44" s="494">
        <f t="shared" si="10"/>
        <v>18.894989742222318</v>
      </c>
      <c r="G44" s="31"/>
      <c r="H44" s="31"/>
      <c r="I44" s="31"/>
      <c r="J44" s="69"/>
      <c r="K44" s="249"/>
      <c r="L44" s="76"/>
      <c r="M44" s="76"/>
      <c r="N44" s="69"/>
      <c r="O44" s="76"/>
    </row>
    <row r="45" spans="1:15" s="48" customFormat="1" x14ac:dyDescent="0.2">
      <c r="A45" s="28" t="s">
        <v>108</v>
      </c>
      <c r="B45" s="458"/>
      <c r="C45" s="30">
        <v>8634587</v>
      </c>
      <c r="D45" s="30">
        <f>8636873-12</f>
        <v>8636861</v>
      </c>
      <c r="E45" s="30">
        <v>1631934</v>
      </c>
      <c r="F45" s="479">
        <f t="shared" si="10"/>
        <v>18.894989742222318</v>
      </c>
      <c r="G45" s="31"/>
      <c r="H45" s="31"/>
      <c r="I45" s="31"/>
      <c r="J45" s="31"/>
      <c r="K45" s="55"/>
      <c r="L45" s="76"/>
      <c r="M45" s="69"/>
      <c r="N45" s="69"/>
      <c r="O45" s="76"/>
    </row>
    <row r="46" spans="1:15" s="48" customFormat="1" x14ac:dyDescent="0.2">
      <c r="A46" s="298" t="s">
        <v>106</v>
      </c>
      <c r="B46" s="460"/>
      <c r="C46" s="322">
        <v>0</v>
      </c>
      <c r="D46" s="322">
        <v>0</v>
      </c>
      <c r="E46" s="322">
        <v>0</v>
      </c>
      <c r="F46" s="480">
        <v>0</v>
      </c>
      <c r="G46" s="31"/>
      <c r="H46" s="31"/>
      <c r="I46" s="163"/>
      <c r="J46" s="69"/>
      <c r="K46" s="55"/>
      <c r="L46" s="76"/>
      <c r="M46" s="69"/>
      <c r="N46" s="69"/>
      <c r="O46" s="76"/>
    </row>
    <row r="47" spans="1:15" ht="15" x14ac:dyDescent="0.25">
      <c r="A47" s="294" t="s">
        <v>23</v>
      </c>
      <c r="B47" s="295">
        <v>11</v>
      </c>
      <c r="C47" s="323">
        <f>C48+C52</f>
        <v>2491540</v>
      </c>
      <c r="D47" s="323">
        <f>D48+D52</f>
        <v>2602310</v>
      </c>
      <c r="E47" s="323">
        <f>E48+E52</f>
        <v>1449464</v>
      </c>
      <c r="F47" s="478">
        <f t="shared" si="10"/>
        <v>55.699128850905545</v>
      </c>
      <c r="G47" s="246"/>
      <c r="H47" s="67"/>
      <c r="I47" s="67"/>
      <c r="J47" s="190"/>
      <c r="K47" s="67"/>
      <c r="L47" s="78"/>
      <c r="M47" s="78"/>
      <c r="N47" s="79"/>
      <c r="O47" s="78"/>
    </row>
    <row r="48" spans="1:15" s="32" customFormat="1" x14ac:dyDescent="0.2">
      <c r="A48" s="296" t="s">
        <v>21</v>
      </c>
      <c r="B48" s="297"/>
      <c r="C48" s="324">
        <f>C49+C50+C51</f>
        <v>1175045</v>
      </c>
      <c r="D48" s="324">
        <f t="shared" ref="D48:E48" si="12">D49+D50+D51</f>
        <v>1269899</v>
      </c>
      <c r="E48" s="324">
        <f t="shared" si="12"/>
        <v>672269</v>
      </c>
      <c r="F48" s="479">
        <f t="shared" si="10"/>
        <v>52.938777020849692</v>
      </c>
      <c r="G48" s="252"/>
      <c r="H48" s="252"/>
      <c r="I48" s="252"/>
      <c r="J48" s="190"/>
      <c r="K48" s="249"/>
      <c r="L48" s="53"/>
      <c r="M48" s="53"/>
      <c r="N48" s="54"/>
      <c r="O48" s="53"/>
    </row>
    <row r="49" spans="1:15" s="32" customFormat="1" x14ac:dyDescent="0.2">
      <c r="A49" s="28" t="s">
        <v>108</v>
      </c>
      <c r="B49" s="297"/>
      <c r="C49" s="30">
        <v>1086145</v>
      </c>
      <c r="D49" s="30">
        <v>1192156</v>
      </c>
      <c r="E49" s="30">
        <v>672169</v>
      </c>
      <c r="F49" s="479">
        <f t="shared" si="10"/>
        <v>56.382637842698436</v>
      </c>
      <c r="G49" s="252"/>
      <c r="H49" s="252"/>
      <c r="I49" s="252"/>
      <c r="J49" s="190"/>
      <c r="K49" s="55"/>
      <c r="L49" s="77"/>
      <c r="M49" s="53"/>
      <c r="N49" s="54"/>
      <c r="O49" s="53"/>
    </row>
    <row r="50" spans="1:15" s="32" customFormat="1" x14ac:dyDescent="0.2">
      <c r="A50" s="28" t="s">
        <v>106</v>
      </c>
      <c r="B50" s="297"/>
      <c r="C50" s="30">
        <v>0</v>
      </c>
      <c r="D50" s="30">
        <v>0</v>
      </c>
      <c r="E50" s="30">
        <v>0</v>
      </c>
      <c r="F50" s="479">
        <v>0</v>
      </c>
      <c r="G50" s="252"/>
      <c r="H50" s="252"/>
      <c r="I50" s="252"/>
      <c r="J50" s="190"/>
      <c r="K50" s="55"/>
      <c r="L50" s="53"/>
      <c r="M50" s="53"/>
      <c r="N50" s="54"/>
      <c r="O50" s="53"/>
    </row>
    <row r="51" spans="1:15" s="32" customFormat="1" x14ac:dyDescent="0.2">
      <c r="A51" s="452" t="s">
        <v>109</v>
      </c>
      <c r="B51" s="297"/>
      <c r="C51" s="30">
        <v>88900</v>
      </c>
      <c r="D51" s="30">
        <v>77743</v>
      </c>
      <c r="E51" s="30">
        <v>100</v>
      </c>
      <c r="F51" s="479">
        <f t="shared" si="10"/>
        <v>0.128628944084998</v>
      </c>
      <c r="G51" s="252"/>
      <c r="H51" s="252"/>
      <c r="I51" s="252"/>
      <c r="J51" s="190"/>
      <c r="K51" s="55"/>
      <c r="L51" s="53"/>
      <c r="M51" s="53"/>
      <c r="N51" s="54"/>
      <c r="O51" s="53"/>
    </row>
    <row r="52" spans="1:15" ht="17.45" customHeight="1" x14ac:dyDescent="0.2">
      <c r="A52" s="51" t="s">
        <v>22</v>
      </c>
      <c r="B52" s="295"/>
      <c r="C52" s="324">
        <f>C53+C54</f>
        <v>1316495</v>
      </c>
      <c r="D52" s="324">
        <f t="shared" ref="D52:E52" si="13">D53+D54</f>
        <v>1332411</v>
      </c>
      <c r="E52" s="324">
        <f t="shared" si="13"/>
        <v>777195</v>
      </c>
      <c r="F52" s="479">
        <f t="shared" ref="F52:F54" si="14">(E52/D52)*100</f>
        <v>58.329974760040258</v>
      </c>
      <c r="G52" s="252"/>
      <c r="H52" s="252"/>
      <c r="I52" s="252"/>
      <c r="J52" s="190"/>
      <c r="K52" s="249"/>
      <c r="L52" s="78"/>
      <c r="M52" s="78"/>
      <c r="N52" s="79"/>
      <c r="O52" s="78"/>
    </row>
    <row r="53" spans="1:15" ht="15" customHeight="1" x14ac:dyDescent="0.2">
      <c r="A53" s="28" t="s">
        <v>108</v>
      </c>
      <c r="B53" s="295"/>
      <c r="C53" s="30">
        <v>1308037</v>
      </c>
      <c r="D53" s="30">
        <v>1304968</v>
      </c>
      <c r="E53" s="30">
        <v>776624</v>
      </c>
      <c r="F53" s="479">
        <f t="shared" si="14"/>
        <v>59.512876944108974</v>
      </c>
      <c r="G53" s="31"/>
      <c r="H53" s="31"/>
      <c r="I53" s="31"/>
      <c r="J53" s="190"/>
      <c r="K53" s="55"/>
      <c r="L53" s="78"/>
      <c r="M53" s="78"/>
      <c r="N53" s="79"/>
      <c r="O53" s="78"/>
    </row>
    <row r="54" spans="1:15" ht="15" customHeight="1" x14ac:dyDescent="0.2">
      <c r="A54" s="28" t="s">
        <v>106</v>
      </c>
      <c r="B54" s="295"/>
      <c r="C54" s="30">
        <v>8458</v>
      </c>
      <c r="D54" s="30">
        <v>27443</v>
      </c>
      <c r="E54" s="30">
        <v>571</v>
      </c>
      <c r="F54" s="480">
        <f t="shared" si="14"/>
        <v>2.0806763108989541</v>
      </c>
      <c r="G54" s="31"/>
      <c r="H54" s="31"/>
      <c r="I54" s="31"/>
      <c r="J54" s="190"/>
      <c r="K54" s="55"/>
      <c r="L54" s="78"/>
      <c r="M54" s="78"/>
      <c r="N54" s="79"/>
      <c r="O54" s="78"/>
    </row>
    <row r="55" spans="1:15" ht="15" customHeight="1" x14ac:dyDescent="0.25">
      <c r="A55" s="310" t="s">
        <v>24</v>
      </c>
      <c r="B55" s="308">
        <v>12</v>
      </c>
      <c r="C55" s="321">
        <f>C56+C60</f>
        <v>4124466</v>
      </c>
      <c r="D55" s="321">
        <f>D56+D60</f>
        <v>4359800</v>
      </c>
      <c r="E55" s="321">
        <f>E56+E60</f>
        <v>1271087</v>
      </c>
      <c r="F55" s="478">
        <f t="shared" si="10"/>
        <v>29.154708931602368</v>
      </c>
      <c r="G55" s="27"/>
      <c r="H55" s="67"/>
      <c r="I55" s="67"/>
      <c r="J55" s="190"/>
      <c r="K55" s="67"/>
      <c r="L55" s="78"/>
      <c r="M55" s="78"/>
      <c r="N55" s="79"/>
      <c r="O55" s="78"/>
    </row>
    <row r="56" spans="1:15" ht="15" customHeight="1" x14ac:dyDescent="0.2">
      <c r="A56" s="296" t="s">
        <v>21</v>
      </c>
      <c r="B56" s="295"/>
      <c r="C56" s="324">
        <f>C57+C58+C59</f>
        <v>29826</v>
      </c>
      <c r="D56" s="324">
        <f>D57+D58+D59</f>
        <v>31326</v>
      </c>
      <c r="E56" s="324">
        <f t="shared" ref="E56" si="15">E57+E58+E59</f>
        <v>1525</v>
      </c>
      <c r="F56" s="479">
        <f t="shared" si="10"/>
        <v>4.868160633339718</v>
      </c>
      <c r="G56" s="252"/>
      <c r="H56" s="252"/>
      <c r="I56" s="252"/>
      <c r="J56" s="190"/>
      <c r="K56" s="249"/>
      <c r="L56" s="78"/>
      <c r="M56" s="78"/>
      <c r="N56" s="79"/>
      <c r="O56" s="78"/>
    </row>
    <row r="57" spans="1:15" ht="15" customHeight="1" x14ac:dyDescent="0.2">
      <c r="A57" s="28" t="s">
        <v>108</v>
      </c>
      <c r="B57" s="295"/>
      <c r="C57" s="30">
        <v>5626</v>
      </c>
      <c r="D57" s="30">
        <v>5626</v>
      </c>
      <c r="E57" s="30">
        <v>25</v>
      </c>
      <c r="F57" s="479">
        <f t="shared" si="10"/>
        <v>0.44436544614290791</v>
      </c>
      <c r="G57" s="31"/>
      <c r="H57" s="31"/>
      <c r="I57" s="31"/>
      <c r="J57" s="190"/>
      <c r="K57" s="55"/>
      <c r="L57" s="77"/>
      <c r="M57" s="78"/>
      <c r="N57" s="79"/>
      <c r="O57" s="78"/>
    </row>
    <row r="58" spans="1:15" ht="15" customHeight="1" x14ac:dyDescent="0.2">
      <c r="A58" s="28" t="s">
        <v>106</v>
      </c>
      <c r="B58" s="295"/>
      <c r="C58" s="30">
        <v>0</v>
      </c>
      <c r="D58" s="30">
        <v>0</v>
      </c>
      <c r="E58" s="30">
        <v>0</v>
      </c>
      <c r="F58" s="479">
        <v>0</v>
      </c>
      <c r="G58" s="31"/>
      <c r="H58" s="31"/>
      <c r="I58" s="31"/>
      <c r="J58" s="190"/>
      <c r="K58" s="55"/>
      <c r="L58" s="78"/>
      <c r="M58" s="78"/>
      <c r="N58" s="79"/>
      <c r="O58" s="78"/>
    </row>
    <row r="59" spans="1:15" ht="15" customHeight="1" x14ac:dyDescent="0.2">
      <c r="A59" s="452" t="s">
        <v>109</v>
      </c>
      <c r="B59" s="295"/>
      <c r="C59" s="30">
        <v>24200</v>
      </c>
      <c r="D59" s="30">
        <v>25700</v>
      </c>
      <c r="E59" s="30">
        <v>1500</v>
      </c>
      <c r="F59" s="479">
        <f t="shared" si="10"/>
        <v>5.836575875486381</v>
      </c>
      <c r="G59" s="31"/>
      <c r="H59" s="31"/>
      <c r="I59" s="31"/>
      <c r="J59" s="190"/>
      <c r="K59" s="55"/>
      <c r="L59" s="78"/>
      <c r="M59" s="78"/>
      <c r="N59" s="79"/>
      <c r="O59" s="78"/>
    </row>
    <row r="60" spans="1:15" ht="17.45" customHeight="1" x14ac:dyDescent="0.2">
      <c r="A60" s="51" t="s">
        <v>22</v>
      </c>
      <c r="B60" s="295"/>
      <c r="C60" s="324">
        <f>C61+C62</f>
        <v>4094640</v>
      </c>
      <c r="D60" s="324">
        <f t="shared" ref="D60:E60" si="16">D61+D62</f>
        <v>4328474</v>
      </c>
      <c r="E60" s="324">
        <f t="shared" si="16"/>
        <v>1269562</v>
      </c>
      <c r="F60" s="479">
        <f t="shared" si="10"/>
        <v>29.330475359214358</v>
      </c>
      <c r="G60" s="252"/>
      <c r="H60" s="31"/>
      <c r="I60" s="31"/>
      <c r="J60" s="31"/>
      <c r="K60" s="55"/>
      <c r="L60" s="78"/>
      <c r="M60" s="78"/>
      <c r="N60" s="79"/>
      <c r="O60" s="78"/>
    </row>
    <row r="61" spans="1:15" ht="15" customHeight="1" x14ac:dyDescent="0.2">
      <c r="A61" s="28" t="s">
        <v>108</v>
      </c>
      <c r="B61" s="295"/>
      <c r="C61" s="30">
        <v>3300740</v>
      </c>
      <c r="D61" s="30">
        <v>3367680</v>
      </c>
      <c r="E61" s="30">
        <v>1268662</v>
      </c>
      <c r="F61" s="479">
        <f>(E61/D61)*100</f>
        <v>37.67169089699734</v>
      </c>
      <c r="G61" s="31"/>
      <c r="H61" s="31"/>
      <c r="I61" s="31"/>
      <c r="J61" s="190"/>
      <c r="K61" s="55"/>
      <c r="L61" s="78"/>
      <c r="M61" s="78"/>
      <c r="N61" s="79"/>
      <c r="O61" s="78"/>
    </row>
    <row r="62" spans="1:15" ht="15" customHeight="1" thickBot="1" x14ac:dyDescent="0.25">
      <c r="A62" s="313" t="s">
        <v>106</v>
      </c>
      <c r="B62" s="314"/>
      <c r="C62" s="495">
        <v>793900</v>
      </c>
      <c r="D62" s="495">
        <v>960794</v>
      </c>
      <c r="E62" s="495">
        <v>900</v>
      </c>
      <c r="F62" s="496">
        <f t="shared" si="10"/>
        <v>9.3672525015768213E-2</v>
      </c>
      <c r="G62" s="31"/>
      <c r="H62" s="31"/>
      <c r="I62" s="31"/>
      <c r="J62" s="190"/>
      <c r="K62" s="55"/>
      <c r="L62" s="78"/>
      <c r="M62" s="78"/>
      <c r="N62" s="79"/>
      <c r="O62" s="78"/>
    </row>
    <row r="63" spans="1:15" ht="15" customHeight="1" thickTop="1" x14ac:dyDescent="0.2">
      <c r="A63" s="53"/>
      <c r="B63" s="311"/>
      <c r="C63" s="85"/>
      <c r="D63" s="85"/>
      <c r="E63" s="85"/>
      <c r="F63" s="312"/>
      <c r="G63" s="31"/>
      <c r="H63" s="31"/>
      <c r="I63" s="31"/>
      <c r="J63" s="190"/>
      <c r="K63" s="55"/>
      <c r="L63" s="78"/>
      <c r="M63" s="78"/>
      <c r="N63" s="79"/>
      <c r="O63" s="78"/>
    </row>
    <row r="64" spans="1:15" ht="15" customHeight="1" thickBot="1" x14ac:dyDescent="0.25">
      <c r="A64" s="290"/>
      <c r="B64" s="238"/>
      <c r="C64" s="291"/>
      <c r="D64" s="291"/>
      <c r="E64" s="291"/>
      <c r="F64" s="288" t="s">
        <v>0</v>
      </c>
      <c r="G64" s="31"/>
      <c r="H64" s="31"/>
      <c r="I64" s="31"/>
      <c r="J64" s="190"/>
      <c r="K64" s="55"/>
      <c r="L64" s="78"/>
      <c r="M64" s="78"/>
      <c r="N64" s="79"/>
      <c r="O64" s="78"/>
    </row>
    <row r="65" spans="1:15" ht="15" customHeight="1" thickTop="1" thickBot="1" x14ac:dyDescent="0.25">
      <c r="A65" s="262" t="s">
        <v>9</v>
      </c>
      <c r="B65" s="263" t="s">
        <v>10</v>
      </c>
      <c r="C65" s="264" t="s">
        <v>11</v>
      </c>
      <c r="D65" s="264" t="s">
        <v>12</v>
      </c>
      <c r="E65" s="264" t="s">
        <v>4</v>
      </c>
      <c r="F65" s="265" t="s">
        <v>5</v>
      </c>
      <c r="G65" s="31"/>
      <c r="H65" s="31"/>
      <c r="I65" s="31"/>
      <c r="J65" s="190"/>
      <c r="K65" s="55"/>
      <c r="L65" s="78"/>
      <c r="M65" s="78"/>
      <c r="N65" s="79"/>
      <c r="O65" s="78"/>
    </row>
    <row r="66" spans="1:15" ht="15" customHeight="1" thickTop="1" thickBot="1" x14ac:dyDescent="0.25">
      <c r="A66" s="260">
        <v>1</v>
      </c>
      <c r="B66" s="258">
        <v>2</v>
      </c>
      <c r="C66" s="258">
        <v>3</v>
      </c>
      <c r="D66" s="258">
        <v>4</v>
      </c>
      <c r="E66" s="258">
        <v>5</v>
      </c>
      <c r="F66" s="266" t="s">
        <v>96</v>
      </c>
      <c r="G66" s="31"/>
      <c r="H66" s="31"/>
      <c r="I66" s="31"/>
      <c r="J66" s="190"/>
      <c r="K66" s="55"/>
      <c r="L66" s="78"/>
      <c r="M66" s="78"/>
      <c r="N66" s="79"/>
      <c r="O66" s="78"/>
    </row>
    <row r="67" spans="1:15" ht="15" customHeight="1" thickTop="1" x14ac:dyDescent="0.25">
      <c r="A67" s="310" t="s">
        <v>110</v>
      </c>
      <c r="B67" s="308">
        <v>13</v>
      </c>
      <c r="C67" s="321">
        <f>C68+C72</f>
        <v>660303</v>
      </c>
      <c r="D67" s="321">
        <f>D68+D72</f>
        <v>702566</v>
      </c>
      <c r="E67" s="321">
        <f>E68+E72</f>
        <v>307535</v>
      </c>
      <c r="F67" s="478">
        <f>(E67/D67)*100</f>
        <v>43.773111707654508</v>
      </c>
      <c r="G67" s="31"/>
      <c r="H67" s="31"/>
      <c r="I67" s="31"/>
      <c r="J67" s="190"/>
      <c r="K67" s="55"/>
      <c r="L67" s="78"/>
      <c r="M67" s="78"/>
      <c r="N67" s="79"/>
      <c r="O67" s="78"/>
    </row>
    <row r="68" spans="1:15" s="32" customFormat="1" x14ac:dyDescent="0.2">
      <c r="A68" s="296" t="s">
        <v>21</v>
      </c>
      <c r="B68" s="297"/>
      <c r="C68" s="324">
        <f>C69+C70+C71</f>
        <v>349667</v>
      </c>
      <c r="D68" s="324">
        <f t="shared" ref="D68:E68" si="17">D69+D70+D71</f>
        <v>392737</v>
      </c>
      <c r="E68" s="324">
        <f t="shared" si="17"/>
        <v>227622</v>
      </c>
      <c r="F68" s="479">
        <f t="shared" ref="F68:F74" si="18">(E68/D68)*100</f>
        <v>57.957870024978554</v>
      </c>
      <c r="G68" s="252"/>
      <c r="H68" s="252"/>
      <c r="I68" s="252"/>
      <c r="J68" s="190"/>
      <c r="K68" s="249"/>
      <c r="L68" s="53"/>
      <c r="M68" s="53"/>
      <c r="N68" s="54"/>
      <c r="O68" s="53"/>
    </row>
    <row r="69" spans="1:15" ht="15" customHeight="1" x14ac:dyDescent="0.2">
      <c r="A69" s="28" t="s">
        <v>108</v>
      </c>
      <c r="B69" s="295"/>
      <c r="C69" s="30">
        <v>22404</v>
      </c>
      <c r="D69" s="30">
        <v>34989</v>
      </c>
      <c r="E69" s="30">
        <v>17843</v>
      </c>
      <c r="F69" s="479">
        <f t="shared" si="18"/>
        <v>50.996027322872905</v>
      </c>
      <c r="G69" s="31"/>
      <c r="H69" s="31"/>
      <c r="I69" s="31"/>
      <c r="J69" s="190"/>
      <c r="K69" s="55"/>
      <c r="L69" s="78"/>
      <c r="M69" s="78"/>
      <c r="N69" s="79"/>
      <c r="O69" s="78"/>
    </row>
    <row r="70" spans="1:15" ht="15" customHeight="1" x14ac:dyDescent="0.2">
      <c r="A70" s="28" t="s">
        <v>106</v>
      </c>
      <c r="B70" s="295"/>
      <c r="C70" s="30">
        <v>0</v>
      </c>
      <c r="D70" s="30">
        <v>3200</v>
      </c>
      <c r="E70" s="30">
        <v>0</v>
      </c>
      <c r="F70" s="479">
        <v>0</v>
      </c>
      <c r="G70" s="31"/>
      <c r="H70" s="31"/>
      <c r="I70" s="31"/>
      <c r="J70" s="190"/>
      <c r="K70" s="55"/>
      <c r="L70" s="78"/>
      <c r="M70" s="78"/>
      <c r="N70" s="79"/>
      <c r="O70" s="78"/>
    </row>
    <row r="71" spans="1:15" ht="15" customHeight="1" x14ac:dyDescent="0.2">
      <c r="A71" s="452" t="s">
        <v>109</v>
      </c>
      <c r="B71" s="295"/>
      <c r="C71" s="30">
        <v>327263</v>
      </c>
      <c r="D71" s="30">
        <v>354548</v>
      </c>
      <c r="E71" s="30">
        <v>209779</v>
      </c>
      <c r="F71" s="479">
        <f t="shared" si="18"/>
        <v>59.16801110145876</v>
      </c>
      <c r="G71" s="31"/>
      <c r="H71" s="31"/>
      <c r="I71" s="31"/>
      <c r="J71" s="190"/>
      <c r="K71" s="55"/>
      <c r="L71" s="78"/>
      <c r="M71" s="78"/>
      <c r="N71" s="79"/>
      <c r="O71" s="78"/>
    </row>
    <row r="72" spans="1:15" ht="17.45" customHeight="1" x14ac:dyDescent="0.2">
      <c r="A72" s="51" t="s">
        <v>22</v>
      </c>
      <c r="B72" s="295"/>
      <c r="C72" s="324">
        <f>C73+C74</f>
        <v>310636</v>
      </c>
      <c r="D72" s="324">
        <f>D73+D74</f>
        <v>309829</v>
      </c>
      <c r="E72" s="324">
        <f>E73+E74</f>
        <v>79913</v>
      </c>
      <c r="F72" s="479">
        <f t="shared" si="18"/>
        <v>25.792614635815241</v>
      </c>
      <c r="G72" s="252"/>
      <c r="H72" s="252"/>
      <c r="I72" s="252"/>
      <c r="J72" s="190"/>
      <c r="K72" s="249"/>
      <c r="L72" s="78"/>
      <c r="M72" s="78"/>
      <c r="N72" s="79"/>
      <c r="O72" s="78"/>
    </row>
    <row r="73" spans="1:15" ht="15" customHeight="1" x14ac:dyDescent="0.2">
      <c r="A73" s="28" t="s">
        <v>108</v>
      </c>
      <c r="B73" s="295"/>
      <c r="C73" s="30">
        <v>296921</v>
      </c>
      <c r="D73" s="30">
        <v>285196</v>
      </c>
      <c r="E73" s="30">
        <v>73118</v>
      </c>
      <c r="F73" s="479">
        <f t="shared" si="18"/>
        <v>25.637806981865101</v>
      </c>
      <c r="G73" s="31"/>
      <c r="H73" s="31"/>
      <c r="I73" s="31"/>
      <c r="J73" s="190"/>
      <c r="K73" s="55"/>
      <c r="L73" s="78"/>
      <c r="M73" s="78"/>
      <c r="N73" s="79"/>
      <c r="O73" s="78"/>
    </row>
    <row r="74" spans="1:15" ht="15" customHeight="1" x14ac:dyDescent="0.2">
      <c r="A74" s="298" t="s">
        <v>106</v>
      </c>
      <c r="B74" s="306"/>
      <c r="C74" s="322">
        <v>13715</v>
      </c>
      <c r="D74" s="322">
        <v>24633</v>
      </c>
      <c r="E74" s="322">
        <v>6795</v>
      </c>
      <c r="F74" s="480">
        <f t="shared" si="18"/>
        <v>27.584947022287174</v>
      </c>
      <c r="G74" s="31"/>
      <c r="H74" s="31"/>
      <c r="I74" s="31"/>
      <c r="J74" s="190"/>
      <c r="K74" s="55"/>
      <c r="L74" s="78"/>
      <c r="M74" s="78"/>
      <c r="N74" s="79"/>
      <c r="O74" s="78"/>
    </row>
    <row r="75" spans="1:15" s="35" customFormat="1" ht="15" x14ac:dyDescent="0.25">
      <c r="A75" s="294" t="s">
        <v>25</v>
      </c>
      <c r="B75" s="295">
        <v>14</v>
      </c>
      <c r="C75" s="323">
        <f>C76+C80</f>
        <v>542268</v>
      </c>
      <c r="D75" s="323">
        <f>D76+D80</f>
        <v>566722</v>
      </c>
      <c r="E75" s="323">
        <f>E76+E80</f>
        <v>152000</v>
      </c>
      <c r="F75" s="478">
        <f t="shared" ref="F75:F106" si="19">(E75/D75)*100</f>
        <v>26.82091042874637</v>
      </c>
      <c r="G75" s="246"/>
      <c r="H75" s="67"/>
      <c r="I75" s="67"/>
      <c r="J75" s="190"/>
      <c r="K75" s="67"/>
      <c r="L75" s="53"/>
      <c r="M75" s="77"/>
      <c r="N75" s="44"/>
      <c r="O75" s="77"/>
    </row>
    <row r="76" spans="1:15" s="32" customFormat="1" x14ac:dyDescent="0.2">
      <c r="A76" s="296" t="s">
        <v>21</v>
      </c>
      <c r="B76" s="297"/>
      <c r="C76" s="324">
        <f>C77+C78+C79</f>
        <v>107655</v>
      </c>
      <c r="D76" s="324">
        <f t="shared" ref="D76:E76" si="20">D77+D78+D79</f>
        <v>103844</v>
      </c>
      <c r="E76" s="324">
        <f t="shared" si="20"/>
        <v>7441</v>
      </c>
      <c r="F76" s="479">
        <f t="shared" si="19"/>
        <v>7.1655560263472129</v>
      </c>
      <c r="G76" s="252"/>
      <c r="H76" s="252"/>
      <c r="I76" s="252"/>
      <c r="J76" s="190"/>
      <c r="K76" s="249"/>
      <c r="L76" s="53"/>
      <c r="M76" s="53"/>
      <c r="N76" s="54"/>
      <c r="O76" s="53"/>
    </row>
    <row r="77" spans="1:15" s="32" customFormat="1" x14ac:dyDescent="0.2">
      <c r="A77" s="28" t="s">
        <v>108</v>
      </c>
      <c r="B77" s="297"/>
      <c r="C77" s="30">
        <v>87755</v>
      </c>
      <c r="D77" s="30">
        <v>83944</v>
      </c>
      <c r="E77" s="30">
        <v>7441</v>
      </c>
      <c r="F77" s="479">
        <f>(E77/D77)*100</f>
        <v>8.8642428285523689</v>
      </c>
      <c r="G77" s="31"/>
      <c r="H77" s="31"/>
      <c r="I77" s="31"/>
      <c r="J77" s="190"/>
      <c r="K77" s="55"/>
      <c r="L77" s="77"/>
      <c r="M77" s="53"/>
      <c r="N77" s="54"/>
      <c r="O77" s="53"/>
    </row>
    <row r="78" spans="1:15" s="32" customFormat="1" x14ac:dyDescent="0.2">
      <c r="A78" s="28" t="s">
        <v>106</v>
      </c>
      <c r="B78" s="297"/>
      <c r="C78" s="30">
        <v>0</v>
      </c>
      <c r="D78" s="30">
        <v>0</v>
      </c>
      <c r="E78" s="30">
        <v>0</v>
      </c>
      <c r="F78" s="479">
        <v>0</v>
      </c>
      <c r="G78" s="31"/>
      <c r="H78" s="31"/>
      <c r="I78" s="31"/>
      <c r="J78" s="190"/>
      <c r="K78" s="55"/>
      <c r="L78" s="53"/>
      <c r="M78" s="53"/>
      <c r="N78" s="54"/>
      <c r="O78" s="53"/>
    </row>
    <row r="79" spans="1:15" s="32" customFormat="1" x14ac:dyDescent="0.2">
      <c r="A79" s="452" t="s">
        <v>109</v>
      </c>
      <c r="B79" s="297"/>
      <c r="C79" s="30">
        <v>19900</v>
      </c>
      <c r="D79" s="30">
        <v>19900</v>
      </c>
      <c r="E79" s="30">
        <v>0</v>
      </c>
      <c r="F79" s="479">
        <f t="shared" si="19"/>
        <v>0</v>
      </c>
      <c r="G79" s="31"/>
      <c r="H79" s="31"/>
      <c r="I79" s="31"/>
      <c r="J79" s="190"/>
      <c r="K79" s="55"/>
      <c r="L79" s="53"/>
      <c r="M79" s="53"/>
      <c r="N79" s="54"/>
      <c r="O79" s="53"/>
    </row>
    <row r="80" spans="1:15" s="32" customFormat="1" x14ac:dyDescent="0.2">
      <c r="A80" s="51" t="s">
        <v>22</v>
      </c>
      <c r="B80" s="297"/>
      <c r="C80" s="324">
        <f>C81+C82</f>
        <v>434613</v>
      </c>
      <c r="D80" s="324">
        <f t="shared" ref="D80:E80" si="21">D81+D82</f>
        <v>462878</v>
      </c>
      <c r="E80" s="324">
        <f t="shared" si="21"/>
        <v>144559</v>
      </c>
      <c r="F80" s="482">
        <f>(E80/D80)*100</f>
        <v>31.230475416848503</v>
      </c>
      <c r="G80" s="252"/>
      <c r="H80" s="252"/>
      <c r="I80" s="252"/>
      <c r="J80" s="190"/>
      <c r="K80" s="249"/>
      <c r="L80" s="53"/>
      <c r="M80" s="53"/>
      <c r="N80" s="54"/>
      <c r="O80" s="53"/>
    </row>
    <row r="81" spans="1:15" s="32" customFormat="1" x14ac:dyDescent="0.2">
      <c r="A81" s="28" t="s">
        <v>108</v>
      </c>
      <c r="B81" s="297"/>
      <c r="C81" s="30">
        <v>419821</v>
      </c>
      <c r="D81" s="30">
        <v>432162</v>
      </c>
      <c r="E81" s="30">
        <v>140465</v>
      </c>
      <c r="F81" s="482">
        <f t="shared" ref="F81:F83" si="22">(E81/D81)*100</f>
        <v>32.502857724649552</v>
      </c>
      <c r="G81" s="31"/>
      <c r="H81" s="31"/>
      <c r="I81" s="31"/>
      <c r="J81" s="190"/>
      <c r="K81" s="55"/>
      <c r="L81" s="53"/>
      <c r="M81" s="53"/>
      <c r="N81" s="54"/>
      <c r="O81" s="53"/>
    </row>
    <row r="82" spans="1:15" s="32" customFormat="1" x14ac:dyDescent="0.2">
      <c r="A82" s="298" t="s">
        <v>106</v>
      </c>
      <c r="B82" s="299"/>
      <c r="C82" s="322">
        <v>14792</v>
      </c>
      <c r="D82" s="322">
        <v>30716</v>
      </c>
      <c r="E82" s="322">
        <v>4094</v>
      </c>
      <c r="F82" s="483">
        <f t="shared" si="22"/>
        <v>13.328558406042454</v>
      </c>
      <c r="G82" s="31"/>
      <c r="H82" s="31"/>
      <c r="I82" s="31"/>
      <c r="J82" s="31"/>
      <c r="K82" s="55"/>
      <c r="L82" s="53"/>
      <c r="M82" s="53"/>
      <c r="N82" s="54"/>
      <c r="O82" s="53"/>
    </row>
    <row r="83" spans="1:15" s="505" customFormat="1" ht="15" x14ac:dyDescent="0.25">
      <c r="A83" s="499" t="s">
        <v>156</v>
      </c>
      <c r="B83" s="500">
        <v>15</v>
      </c>
      <c r="C83" s="507">
        <v>515</v>
      </c>
      <c r="D83" s="507">
        <v>542</v>
      </c>
      <c r="E83" s="507">
        <v>36</v>
      </c>
      <c r="F83" s="484">
        <f t="shared" si="22"/>
        <v>6.6420664206642073</v>
      </c>
      <c r="G83" s="501"/>
      <c r="H83" s="502"/>
      <c r="I83" s="502"/>
      <c r="J83" s="503"/>
      <c r="K83" s="502"/>
      <c r="L83" s="504"/>
      <c r="N83" s="506"/>
    </row>
    <row r="84" spans="1:15" s="35" customFormat="1" ht="15" hidden="1" x14ac:dyDescent="0.25">
      <c r="A84" s="294" t="s">
        <v>26</v>
      </c>
      <c r="B84" s="295">
        <v>16</v>
      </c>
      <c r="C84" s="323">
        <v>0</v>
      </c>
      <c r="D84" s="323">
        <v>0</v>
      </c>
      <c r="E84" s="323">
        <v>0</v>
      </c>
      <c r="F84" s="478">
        <v>0</v>
      </c>
      <c r="G84" s="27"/>
      <c r="H84" s="31"/>
      <c r="I84" s="31"/>
      <c r="J84" s="31"/>
      <c r="K84" s="67"/>
      <c r="L84" s="77"/>
      <c r="M84" s="77"/>
      <c r="N84" s="44"/>
      <c r="O84" s="77"/>
    </row>
    <row r="85" spans="1:15" s="35" customFormat="1" ht="15" x14ac:dyDescent="0.25">
      <c r="A85" s="300" t="s">
        <v>99</v>
      </c>
      <c r="B85" s="301">
        <v>17</v>
      </c>
      <c r="C85" s="321">
        <f>C86+C87</f>
        <v>574293</v>
      </c>
      <c r="D85" s="321">
        <f t="shared" ref="D85:E85" si="23">D86+D87</f>
        <v>649204</v>
      </c>
      <c r="E85" s="321">
        <f t="shared" si="23"/>
        <v>29150</v>
      </c>
      <c r="F85" s="481">
        <f t="shared" si="19"/>
        <v>4.4901140473564549</v>
      </c>
      <c r="G85" s="246"/>
      <c r="H85" s="27"/>
      <c r="I85" s="27"/>
      <c r="J85" s="190"/>
      <c r="K85" s="67"/>
      <c r="L85" s="77"/>
      <c r="M85" s="77"/>
      <c r="N85" s="44"/>
      <c r="O85" s="77"/>
    </row>
    <row r="86" spans="1:15" s="35" customFormat="1" x14ac:dyDescent="0.2">
      <c r="A86" s="28" t="s">
        <v>108</v>
      </c>
      <c r="B86" s="37"/>
      <c r="C86" s="30">
        <v>46450</v>
      </c>
      <c r="D86" s="30">
        <v>63076</v>
      </c>
      <c r="E86" s="30">
        <v>892</v>
      </c>
      <c r="F86" s="479">
        <f t="shared" si="19"/>
        <v>1.4141670365907795</v>
      </c>
      <c r="G86" s="31"/>
      <c r="H86" s="31"/>
      <c r="I86" s="31"/>
      <c r="J86" s="190"/>
      <c r="K86" s="55"/>
      <c r="L86" s="77"/>
      <c r="M86" s="253"/>
      <c r="N86" s="44"/>
      <c r="O86" s="77"/>
    </row>
    <row r="87" spans="1:15" s="35" customFormat="1" x14ac:dyDescent="0.2">
      <c r="A87" s="298" t="s">
        <v>106</v>
      </c>
      <c r="B87" s="302"/>
      <c r="C87" s="322">
        <v>527843</v>
      </c>
      <c r="D87" s="322">
        <v>586128</v>
      </c>
      <c r="E87" s="322">
        <v>28258</v>
      </c>
      <c r="F87" s="480">
        <f t="shared" si="19"/>
        <v>4.8211312204842631</v>
      </c>
      <c r="G87" s="31"/>
      <c r="H87" s="31"/>
      <c r="I87" s="31"/>
      <c r="J87" s="190"/>
      <c r="K87" s="55"/>
      <c r="L87" s="77"/>
      <c r="M87" s="254"/>
      <c r="N87" s="44"/>
      <c r="O87" s="77"/>
    </row>
    <row r="88" spans="1:15" s="35" customFormat="1" ht="15" x14ac:dyDescent="0.25">
      <c r="A88" s="303" t="s">
        <v>100</v>
      </c>
      <c r="B88" s="304">
        <v>18</v>
      </c>
      <c r="C88" s="323">
        <f>C89+C90+C91</f>
        <v>239559</v>
      </c>
      <c r="D88" s="323">
        <f t="shared" ref="D88:E88" si="24">D89+D90+D91</f>
        <v>247883</v>
      </c>
      <c r="E88" s="323">
        <f t="shared" si="24"/>
        <v>42120</v>
      </c>
      <c r="F88" s="478">
        <f t="shared" si="19"/>
        <v>16.991887301670548</v>
      </c>
      <c r="G88" s="31"/>
      <c r="H88" s="31"/>
      <c r="I88" s="31"/>
      <c r="J88" s="44"/>
      <c r="K88" s="55"/>
      <c r="L88" s="77"/>
      <c r="M88" s="46"/>
      <c r="N88" s="44"/>
      <c r="O88" s="77"/>
    </row>
    <row r="89" spans="1:15" s="35" customFormat="1" x14ac:dyDescent="0.2">
      <c r="A89" s="28" t="s">
        <v>108</v>
      </c>
      <c r="B89" s="37"/>
      <c r="C89" s="30">
        <v>166983</v>
      </c>
      <c r="D89" s="30">
        <v>163533</v>
      </c>
      <c r="E89" s="30">
        <v>28870</v>
      </c>
      <c r="F89" s="479">
        <f>(E89/D89)*100</f>
        <v>17.653929176374188</v>
      </c>
      <c r="G89" s="31"/>
      <c r="H89" s="31"/>
      <c r="I89" s="31"/>
      <c r="J89" s="190"/>
      <c r="K89" s="55"/>
      <c r="L89" s="77"/>
      <c r="M89" s="253"/>
      <c r="N89" s="44"/>
      <c r="O89" s="77"/>
    </row>
    <row r="90" spans="1:15" s="35" customFormat="1" x14ac:dyDescent="0.2">
      <c r="A90" s="28" t="s">
        <v>106</v>
      </c>
      <c r="B90" s="37"/>
      <c r="C90" s="30">
        <f>700+10700</f>
        <v>11400</v>
      </c>
      <c r="D90" s="30">
        <f>700+10700</f>
        <v>11400</v>
      </c>
      <c r="E90" s="30">
        <v>10700</v>
      </c>
      <c r="F90" s="479">
        <f>(E90/D90)*100</f>
        <v>93.859649122807014</v>
      </c>
      <c r="G90" s="31"/>
      <c r="H90" s="31"/>
      <c r="I90" s="31"/>
      <c r="J90" s="54"/>
      <c r="K90" s="55"/>
      <c r="L90" s="77"/>
      <c r="M90" s="254"/>
      <c r="N90" s="44"/>
      <c r="O90" s="77"/>
    </row>
    <row r="91" spans="1:15" s="35" customFormat="1" x14ac:dyDescent="0.2">
      <c r="A91" s="449" t="s">
        <v>109</v>
      </c>
      <c r="B91" s="299"/>
      <c r="C91" s="322">
        <v>61176</v>
      </c>
      <c r="D91" s="322">
        <v>72950</v>
      </c>
      <c r="E91" s="322">
        <v>2550</v>
      </c>
      <c r="F91" s="480">
        <f>(E91/D91)*100</f>
        <v>3.495544893762851</v>
      </c>
      <c r="G91" s="31"/>
      <c r="H91" s="31"/>
      <c r="I91" s="31"/>
      <c r="J91" s="31"/>
      <c r="K91" s="55"/>
      <c r="L91" s="77"/>
      <c r="M91" s="46"/>
      <c r="N91" s="44"/>
      <c r="O91" s="77"/>
    </row>
    <row r="92" spans="1:15" s="35" customFormat="1" ht="15" x14ac:dyDescent="0.25">
      <c r="A92" s="305" t="s">
        <v>90</v>
      </c>
      <c r="B92" s="306">
        <v>20</v>
      </c>
      <c r="C92" s="325">
        <v>577</v>
      </c>
      <c r="D92" s="325">
        <v>577</v>
      </c>
      <c r="E92" s="325">
        <v>49</v>
      </c>
      <c r="F92" s="484">
        <f t="shared" si="19"/>
        <v>8.492201039861353</v>
      </c>
      <c r="G92" s="31"/>
      <c r="H92" s="31"/>
      <c r="I92" s="31"/>
      <c r="J92" s="44"/>
      <c r="K92" s="55"/>
      <c r="L92" s="77"/>
      <c r="M92" s="46"/>
      <c r="N92" s="44"/>
      <c r="O92" s="77"/>
    </row>
    <row r="93" spans="1:15" s="35" customFormat="1" ht="15" x14ac:dyDescent="0.25">
      <c r="A93" s="294" t="s">
        <v>27</v>
      </c>
      <c r="B93" s="295" t="s">
        <v>125</v>
      </c>
      <c r="C93" s="323">
        <f>SUM(C94:C96)</f>
        <v>1505613</v>
      </c>
      <c r="D93" s="323">
        <f t="shared" ref="D93:E93" si="25">SUM(D94:D96)</f>
        <v>1863967</v>
      </c>
      <c r="E93" s="323">
        <f t="shared" si="25"/>
        <v>285277</v>
      </c>
      <c r="F93" s="478">
        <f t="shared" si="19"/>
        <v>15.304831040463698</v>
      </c>
      <c r="G93" s="27"/>
      <c r="H93" s="27"/>
      <c r="I93" s="27"/>
      <c r="J93" s="190"/>
      <c r="K93" s="67"/>
      <c r="L93" s="77"/>
      <c r="M93" s="77"/>
      <c r="N93" s="44"/>
      <c r="O93" s="77"/>
    </row>
    <row r="94" spans="1:15" s="35" customFormat="1" x14ac:dyDescent="0.2">
      <c r="A94" s="28" t="s">
        <v>108</v>
      </c>
      <c r="B94" s="295"/>
      <c r="C94" s="30">
        <f>56094-C96</f>
        <v>56094</v>
      </c>
      <c r="D94" s="30">
        <f>236549-D96</f>
        <v>236549</v>
      </c>
      <c r="E94" s="30">
        <f>165296-E96</f>
        <v>39464</v>
      </c>
      <c r="F94" s="479">
        <f t="shared" si="19"/>
        <v>16.683224194564339</v>
      </c>
      <c r="G94" s="31"/>
      <c r="H94" s="31"/>
      <c r="I94" s="31"/>
      <c r="J94" s="190"/>
      <c r="K94" s="55"/>
      <c r="L94" s="77"/>
      <c r="M94" s="77"/>
      <c r="N94" s="44"/>
      <c r="O94" s="77"/>
    </row>
    <row r="95" spans="1:15" s="35" customFormat="1" x14ac:dyDescent="0.2">
      <c r="A95" s="28" t="s">
        <v>106</v>
      </c>
      <c r="B95" s="295"/>
      <c r="C95" s="30">
        <v>1449519</v>
      </c>
      <c r="D95" s="30">
        <v>1627418</v>
      </c>
      <c r="E95" s="30">
        <v>119981</v>
      </c>
      <c r="F95" s="479">
        <f t="shared" si="19"/>
        <v>7.3724759096925316</v>
      </c>
      <c r="G95" s="31"/>
      <c r="H95" s="31"/>
      <c r="I95" s="31"/>
      <c r="J95" s="190"/>
      <c r="K95" s="55"/>
      <c r="L95" s="77"/>
      <c r="M95" s="77"/>
      <c r="N95" s="44"/>
      <c r="O95" s="77"/>
    </row>
    <row r="96" spans="1:15" s="35" customFormat="1" x14ac:dyDescent="0.2">
      <c r="A96" s="452" t="s">
        <v>107</v>
      </c>
      <c r="B96" s="295"/>
      <c r="C96" s="30">
        <v>0</v>
      </c>
      <c r="D96" s="30">
        <v>0</v>
      </c>
      <c r="E96" s="30">
        <v>125832</v>
      </c>
      <c r="F96" s="480">
        <v>0</v>
      </c>
      <c r="G96" s="31"/>
      <c r="H96" s="31"/>
      <c r="I96" s="31"/>
      <c r="J96" s="190"/>
      <c r="K96" s="55"/>
      <c r="L96" s="77"/>
      <c r="M96" s="77"/>
      <c r="N96" s="44"/>
      <c r="O96" s="77"/>
    </row>
    <row r="97" spans="1:15" s="35" customFormat="1" ht="15" x14ac:dyDescent="0.25">
      <c r="A97" s="307" t="s">
        <v>151</v>
      </c>
      <c r="B97" s="308">
        <v>98</v>
      </c>
      <c r="C97" s="321">
        <f>C98</f>
        <v>15000</v>
      </c>
      <c r="D97" s="321">
        <f t="shared" ref="D97:E97" si="26">D98</f>
        <v>15000</v>
      </c>
      <c r="E97" s="321">
        <f t="shared" si="26"/>
        <v>1060</v>
      </c>
      <c r="F97" s="478">
        <f t="shared" ref="F97:F98" si="27">(E97/D97)*100</f>
        <v>7.0666666666666673</v>
      </c>
      <c r="G97" s="31"/>
      <c r="H97" s="31"/>
      <c r="I97" s="31"/>
      <c r="J97" s="54"/>
      <c r="K97" s="67"/>
      <c r="L97" s="77"/>
      <c r="M97" s="77"/>
      <c r="N97" s="44"/>
      <c r="O97" s="77"/>
    </row>
    <row r="98" spans="1:15" s="35" customFormat="1" x14ac:dyDescent="0.2">
      <c r="A98" s="28" t="s">
        <v>108</v>
      </c>
      <c r="B98" s="295"/>
      <c r="C98" s="322">
        <v>15000</v>
      </c>
      <c r="D98" s="322">
        <v>15000</v>
      </c>
      <c r="E98" s="322">
        <v>1060</v>
      </c>
      <c r="F98" s="480">
        <f t="shared" si="27"/>
        <v>7.0666666666666673</v>
      </c>
      <c r="G98" s="31"/>
      <c r="H98" s="31"/>
      <c r="I98" s="31"/>
      <c r="J98" s="54"/>
      <c r="K98" s="55"/>
      <c r="L98" s="77"/>
      <c r="M98" s="77"/>
      <c r="N98" s="44"/>
      <c r="O98" s="77"/>
    </row>
    <row r="99" spans="1:15" s="35" customFormat="1" ht="15" x14ac:dyDescent="0.25">
      <c r="A99" s="307" t="s">
        <v>44</v>
      </c>
      <c r="B99" s="308">
        <v>99</v>
      </c>
      <c r="C99" s="321">
        <f>+C102+C100+C101</f>
        <v>40000</v>
      </c>
      <c r="D99" s="321">
        <f t="shared" ref="D99:E99" si="28">+D102+D100+D101</f>
        <v>40000</v>
      </c>
      <c r="E99" s="321">
        <f t="shared" si="28"/>
        <v>0</v>
      </c>
      <c r="F99" s="478">
        <f t="shared" si="19"/>
        <v>0</v>
      </c>
      <c r="G99" s="31"/>
      <c r="H99" s="31"/>
      <c r="I99" s="31"/>
      <c r="J99" s="190"/>
      <c r="K99" s="67"/>
      <c r="L99" s="77"/>
      <c r="M99" s="77"/>
      <c r="N99" s="44"/>
      <c r="O99" s="77"/>
    </row>
    <row r="100" spans="1:15" s="35" customFormat="1" x14ac:dyDescent="0.2">
      <c r="A100" s="28" t="s">
        <v>108</v>
      </c>
      <c r="B100" s="295"/>
      <c r="C100" s="30">
        <v>0</v>
      </c>
      <c r="D100" s="30">
        <v>0</v>
      </c>
      <c r="E100" s="30">
        <v>0</v>
      </c>
      <c r="F100" s="479">
        <v>0</v>
      </c>
      <c r="G100" s="31"/>
      <c r="H100" s="31"/>
      <c r="I100" s="31"/>
      <c r="J100" s="190"/>
      <c r="K100" s="55"/>
      <c r="L100" s="77"/>
      <c r="M100" s="77"/>
      <c r="N100" s="44"/>
      <c r="O100" s="77"/>
    </row>
    <row r="101" spans="1:15" s="35" customFormat="1" x14ac:dyDescent="0.2">
      <c r="A101" s="28" t="s">
        <v>106</v>
      </c>
      <c r="B101" s="295"/>
      <c r="C101" s="30">
        <v>0</v>
      </c>
      <c r="D101" s="30">
        <v>0</v>
      </c>
      <c r="E101" s="30">
        <v>0</v>
      </c>
      <c r="F101" s="479">
        <v>0</v>
      </c>
      <c r="G101" s="31"/>
      <c r="H101" s="31"/>
      <c r="I101" s="31"/>
      <c r="J101" s="190"/>
      <c r="K101" s="55"/>
      <c r="L101" s="77"/>
      <c r="M101" s="255"/>
      <c r="N101" s="44"/>
      <c r="O101" s="77"/>
    </row>
    <row r="102" spans="1:15" s="35" customFormat="1" x14ac:dyDescent="0.2">
      <c r="A102" s="449" t="s">
        <v>109</v>
      </c>
      <c r="B102" s="306"/>
      <c r="C102" s="322">
        <v>40000</v>
      </c>
      <c r="D102" s="322">
        <v>40000</v>
      </c>
      <c r="E102" s="322">
        <v>0</v>
      </c>
      <c r="F102" s="480">
        <f t="shared" si="19"/>
        <v>0</v>
      </c>
      <c r="G102" s="31"/>
      <c r="H102" s="31"/>
      <c r="I102" s="31"/>
      <c r="J102" s="190"/>
      <c r="K102" s="55"/>
      <c r="L102" s="77"/>
      <c r="M102" s="255"/>
      <c r="N102" s="44"/>
      <c r="O102" s="77"/>
    </row>
    <row r="103" spans="1:15" s="35" customFormat="1" ht="15" x14ac:dyDescent="0.25">
      <c r="A103" s="309" t="s">
        <v>28</v>
      </c>
      <c r="B103" s="295">
        <v>199</v>
      </c>
      <c r="C103" s="323">
        <f>C104</f>
        <v>15838</v>
      </c>
      <c r="D103" s="323">
        <f>D104</f>
        <v>16395</v>
      </c>
      <c r="E103" s="323">
        <f>E104</f>
        <v>3821</v>
      </c>
      <c r="F103" s="478">
        <f t="shared" si="19"/>
        <v>23.305885940835623</v>
      </c>
      <c r="G103" s="31"/>
      <c r="H103" s="31"/>
      <c r="I103" s="31"/>
      <c r="J103" s="190"/>
      <c r="K103" s="67"/>
      <c r="L103" s="43"/>
      <c r="M103" s="77"/>
      <c r="N103" s="44"/>
      <c r="O103" s="77"/>
    </row>
    <row r="104" spans="1:15" s="35" customFormat="1" x14ac:dyDescent="0.2">
      <c r="A104" s="28" t="s">
        <v>108</v>
      </c>
      <c r="B104" s="295"/>
      <c r="C104" s="30">
        <v>15838</v>
      </c>
      <c r="D104" s="30">
        <v>16395</v>
      </c>
      <c r="E104" s="30">
        <v>3821</v>
      </c>
      <c r="F104" s="479">
        <f t="shared" si="19"/>
        <v>23.305885940835623</v>
      </c>
      <c r="G104" s="31"/>
      <c r="H104" s="31"/>
      <c r="I104" s="31"/>
      <c r="J104" s="190"/>
      <c r="K104" s="55"/>
      <c r="L104" s="43"/>
      <c r="M104" s="44"/>
      <c r="N104" s="44"/>
      <c r="O104" s="77"/>
    </row>
    <row r="105" spans="1:15" s="35" customFormat="1" x14ac:dyDescent="0.2">
      <c r="A105" s="28" t="s">
        <v>106</v>
      </c>
      <c r="B105" s="306"/>
      <c r="C105" s="322">
        <v>0</v>
      </c>
      <c r="D105" s="322">
        <v>0</v>
      </c>
      <c r="E105" s="322">
        <v>0</v>
      </c>
      <c r="F105" s="479">
        <v>0</v>
      </c>
      <c r="G105" s="31"/>
      <c r="H105" s="31"/>
      <c r="I105" s="31"/>
      <c r="J105" s="190"/>
      <c r="K105" s="55"/>
      <c r="L105" s="43"/>
      <c r="M105" s="44"/>
      <c r="N105" s="44"/>
      <c r="O105" s="77"/>
    </row>
    <row r="106" spans="1:15" ht="21.75" customHeight="1" x14ac:dyDescent="0.25">
      <c r="A106" s="530" t="s">
        <v>29</v>
      </c>
      <c r="B106" s="531"/>
      <c r="C106" s="82">
        <f>C6+C14+C17+C23+C28+C32+C36+C47+C55+C75+C84+C85+C93+C99+C103+C88+C92+C67+C20+C10+C97+C83</f>
        <v>25203678</v>
      </c>
      <c r="D106" s="82">
        <f t="shared" ref="D106:E106" si="29">D6+D14+D17+D23+D28+D32+D36+D47+D55+D75+D84+D85+D93+D99+D103+D88+D92+D67+D20+D10+D97+D83</f>
        <v>26184319</v>
      </c>
      <c r="E106" s="82">
        <f t="shared" si="29"/>
        <v>13213586</v>
      </c>
      <c r="F106" s="484">
        <f t="shared" si="19"/>
        <v>50.463737475853385</v>
      </c>
      <c r="G106" s="122"/>
      <c r="H106" s="85"/>
      <c r="I106" s="85"/>
      <c r="J106" s="85"/>
      <c r="K106" s="108"/>
      <c r="L106" s="43"/>
      <c r="M106" s="78"/>
      <c r="N106" s="79"/>
      <c r="O106" s="78"/>
    </row>
    <row r="107" spans="1:15" ht="21" customHeight="1" x14ac:dyDescent="0.2">
      <c r="A107" s="453" t="s">
        <v>111</v>
      </c>
      <c r="B107" s="454"/>
      <c r="C107" s="30">
        <f>C96+C27+C9+C13</f>
        <v>15297</v>
      </c>
      <c r="D107" s="30">
        <f>D96+D27+D9+D13</f>
        <v>15854</v>
      </c>
      <c r="E107" s="30">
        <f>E96+E27+E9+E13</f>
        <v>7095393</v>
      </c>
      <c r="F107" s="480">
        <f>(E107/D107)*100</f>
        <v>44754.591901097512</v>
      </c>
      <c r="G107" s="31"/>
      <c r="H107" s="84"/>
      <c r="I107" s="84"/>
      <c r="J107" s="84"/>
      <c r="K107" s="68"/>
      <c r="L107" s="43"/>
      <c r="M107" s="78"/>
      <c r="N107" s="79"/>
      <c r="O107" s="78"/>
    </row>
    <row r="108" spans="1:15" ht="32.25" thickBot="1" x14ac:dyDescent="0.3">
      <c r="A108" s="123" t="s">
        <v>30</v>
      </c>
      <c r="B108" s="124"/>
      <c r="C108" s="81">
        <f>C106-C107</f>
        <v>25188381</v>
      </c>
      <c r="D108" s="81">
        <f>D106-D107</f>
        <v>26168465</v>
      </c>
      <c r="E108" s="81">
        <f>E106-E107</f>
        <v>6118193</v>
      </c>
      <c r="F108" s="485">
        <f>(E108/D108)*100</f>
        <v>23.380022481257498</v>
      </c>
      <c r="G108" s="122"/>
      <c r="H108" s="27"/>
      <c r="I108" s="27"/>
      <c r="J108" s="75"/>
      <c r="K108" s="72"/>
      <c r="L108" s="41"/>
      <c r="M108" s="78"/>
      <c r="N108" s="79"/>
      <c r="O108" s="78"/>
    </row>
    <row r="109" spans="1:15" ht="18.75" customHeight="1" thickTop="1" x14ac:dyDescent="0.25">
      <c r="A109" s="526" t="s">
        <v>124</v>
      </c>
      <c r="B109" s="526"/>
      <c r="C109" s="526"/>
      <c r="D109" s="526"/>
      <c r="E109" s="526"/>
      <c r="G109" s="27"/>
      <c r="H109" s="27"/>
      <c r="I109" s="27"/>
      <c r="J109" s="75"/>
      <c r="K109" s="72"/>
      <c r="L109" s="41"/>
      <c r="M109" s="78"/>
      <c r="N109" s="79"/>
      <c r="O109" s="78"/>
    </row>
    <row r="110" spans="1:15" x14ac:dyDescent="0.2">
      <c r="A110" s="526"/>
      <c r="B110" s="526"/>
      <c r="C110" s="526"/>
      <c r="D110" s="526"/>
      <c r="E110" s="526"/>
      <c r="F110" s="57"/>
      <c r="G110" s="57"/>
      <c r="H110" s="57"/>
      <c r="I110" s="57"/>
      <c r="J110" s="52"/>
      <c r="L110" s="56"/>
    </row>
    <row r="111" spans="1:15" x14ac:dyDescent="0.2">
      <c r="J111" s="52"/>
    </row>
    <row r="112" spans="1:15" x14ac:dyDescent="0.2">
      <c r="J112" s="52"/>
    </row>
    <row r="113" spans="1:14" x14ac:dyDescent="0.2">
      <c r="J113" s="52"/>
    </row>
    <row r="114" spans="1:14" ht="15" thickBot="1" x14ac:dyDescent="0.25">
      <c r="A114" s="219" t="s">
        <v>93</v>
      </c>
      <c r="F114" s="288" t="s">
        <v>0</v>
      </c>
      <c r="J114" s="52"/>
    </row>
    <row r="115" spans="1:14" ht="25.5" customHeight="1" thickTop="1" thickBot="1" x14ac:dyDescent="0.25">
      <c r="A115" s="539" t="s">
        <v>91</v>
      </c>
      <c r="B115" s="540"/>
      <c r="C115" s="267" t="s">
        <v>11</v>
      </c>
      <c r="D115" s="267" t="s">
        <v>12</v>
      </c>
      <c r="E115" s="267" t="s">
        <v>4</v>
      </c>
      <c r="F115" s="268" t="s">
        <v>5</v>
      </c>
      <c r="J115" s="52"/>
    </row>
    <row r="116" spans="1:14" ht="15.75" thickTop="1" thickBot="1" x14ac:dyDescent="0.25">
      <c r="A116" s="539">
        <v>1</v>
      </c>
      <c r="B116" s="540"/>
      <c r="C116" s="267">
        <v>2</v>
      </c>
      <c r="D116" s="267">
        <v>3</v>
      </c>
      <c r="E116" s="267">
        <v>4</v>
      </c>
      <c r="F116" s="266" t="s">
        <v>95</v>
      </c>
      <c r="J116" s="52"/>
      <c r="K116" s="17"/>
      <c r="N116" s="17"/>
    </row>
    <row r="117" spans="1:14" ht="15" thickTop="1" x14ac:dyDescent="0.2">
      <c r="A117" s="541" t="s">
        <v>112</v>
      </c>
      <c r="B117" s="542"/>
      <c r="C117" s="292">
        <f>C104+C100+C94+C89+C86+C81+C77+C69+C61+C57+C53+C49+C45+C42+C38+C33+C29+C24+C21+C18+C15+C7+C92+C84+C11+C73+C98+C83+547531</f>
        <v>21986776</v>
      </c>
      <c r="D117" s="292">
        <f>D104+D100+D94+D89+D86+D81+D77+D69+D61+D57+D53+D49+D45+D42+D38+D33+D29+D24+D21+D18+D15+D7+D92+D84+D11+D73+D98+D83+547955</f>
        <v>22498051</v>
      </c>
      <c r="E117" s="292">
        <f>E104+E100+E94+E89+E86+E81+E77+E69+E61+E57+E53+E49+E45+E42+E38+E33+E29+E24+E21+E18+E15+E7+E92+E84+E11+E73+E98+E83+125119</f>
        <v>5826853</v>
      </c>
      <c r="F117" s="293">
        <f>E117/D117*100</f>
        <v>25.899367905246546</v>
      </c>
      <c r="J117" s="52"/>
      <c r="K117" s="17"/>
      <c r="N117" s="17"/>
    </row>
    <row r="118" spans="1:14" ht="12" customHeight="1" x14ac:dyDescent="0.2">
      <c r="A118" s="543" t="s">
        <v>113</v>
      </c>
      <c r="B118" s="544"/>
      <c r="C118" s="236">
        <f>C105+C101+C90+C87+C82+C78+C70+C62+C58+C54+C50+C46+C43+C39+C34+C30+C25+C22+C19+C16+C8+C95+C12+C74+244775</f>
        <v>3201605</v>
      </c>
      <c r="D118" s="236">
        <f>D105+D101+D90+D87+D82+D78+D70+D62+D58+D54+D50+D46+D43+D39+D34+D30+D25+D22+D19+D16+D8+D95+D12+D74+244875</f>
        <v>3670414</v>
      </c>
      <c r="E118" s="236">
        <f>E105+E101+E90+E87+E82+E78+E70+E62+E58+E54+E50+E46+E43+E39+E34+E30+E25+E22+E19+E16+E8+E95+E12+E74+100100</f>
        <v>291340</v>
      </c>
      <c r="F118" s="237">
        <f>E118/D118*100</f>
        <v>7.9375242138897679</v>
      </c>
      <c r="J118" s="52"/>
      <c r="K118" s="17"/>
      <c r="N118" s="17"/>
    </row>
    <row r="119" spans="1:14" hidden="1" x14ac:dyDescent="0.2">
      <c r="A119" s="545" t="s">
        <v>109</v>
      </c>
      <c r="B119" s="546"/>
      <c r="C119" s="330"/>
      <c r="D119" s="330"/>
      <c r="E119" s="330"/>
      <c r="F119" s="331" t="e">
        <f>E119/D119*100</f>
        <v>#DIV/0!</v>
      </c>
      <c r="J119" s="52"/>
      <c r="K119" s="17"/>
      <c r="N119" s="17"/>
    </row>
    <row r="120" spans="1:14" ht="15" thickBot="1" x14ac:dyDescent="0.25">
      <c r="A120" s="535" t="s">
        <v>111</v>
      </c>
      <c r="B120" s="536"/>
      <c r="C120" s="319">
        <f>C107</f>
        <v>15297</v>
      </c>
      <c r="D120" s="319">
        <f>D107</f>
        <v>15854</v>
      </c>
      <c r="E120" s="319">
        <f>E107</f>
        <v>7095393</v>
      </c>
      <c r="F120" s="320">
        <f>(E120/D120)*100</f>
        <v>44754.591901097512</v>
      </c>
      <c r="J120" s="52"/>
      <c r="K120" s="17"/>
      <c r="N120" s="17"/>
    </row>
    <row r="121" spans="1:14" ht="15" customHeight="1" thickTop="1" x14ac:dyDescent="0.2">
      <c r="A121" s="537" t="s">
        <v>122</v>
      </c>
      <c r="B121" s="538"/>
      <c r="C121" s="472">
        <f>C117+C118+C119+C120</f>
        <v>25203678</v>
      </c>
      <c r="D121" s="472">
        <f>D117+D118+D119+D120</f>
        <v>26184319</v>
      </c>
      <c r="E121" s="472">
        <f t="shared" ref="E121" si="30">E117+E118+E119+E120</f>
        <v>13213586</v>
      </c>
      <c r="F121" s="473">
        <f>(E121/D121)*100</f>
        <v>50.463737475853385</v>
      </c>
      <c r="J121" s="52"/>
      <c r="K121" s="17"/>
      <c r="N121" s="17"/>
    </row>
    <row r="122" spans="1:14" x14ac:dyDescent="0.2">
      <c r="A122" s="528" t="s">
        <v>111</v>
      </c>
      <c r="B122" s="529"/>
      <c r="C122" s="450">
        <f>C120</f>
        <v>15297</v>
      </c>
      <c r="D122" s="450">
        <f t="shared" ref="D122" si="31">D120</f>
        <v>15854</v>
      </c>
      <c r="E122" s="450">
        <f>E120</f>
        <v>7095393</v>
      </c>
      <c r="F122" s="451">
        <f>(E122/D122)*100</f>
        <v>44754.591901097512</v>
      </c>
      <c r="H122" s="56"/>
      <c r="I122" s="56"/>
      <c r="J122" s="56"/>
      <c r="K122" s="17"/>
      <c r="N122" s="17"/>
    </row>
    <row r="123" spans="1:14" ht="15.75" thickBot="1" x14ac:dyDescent="0.3">
      <c r="A123" s="316" t="s">
        <v>123</v>
      </c>
      <c r="B123" s="317"/>
      <c r="C123" s="318">
        <f>C121-C122</f>
        <v>25188381</v>
      </c>
      <c r="D123" s="318">
        <f>D121-D122</f>
        <v>26168465</v>
      </c>
      <c r="E123" s="318">
        <f>E121-E122</f>
        <v>6118193</v>
      </c>
      <c r="F123" s="315">
        <f>(E123/D123)*100</f>
        <v>23.380022481257498</v>
      </c>
      <c r="H123" s="86"/>
      <c r="I123" s="86"/>
      <c r="J123" s="86"/>
      <c r="K123" s="17"/>
      <c r="N123" s="17"/>
    </row>
    <row r="124" spans="1:14" ht="15" thickTop="1" x14ac:dyDescent="0.2"/>
    <row r="125" spans="1:14" x14ac:dyDescent="0.2">
      <c r="D125" s="121">
        <f>D106-D121</f>
        <v>0</v>
      </c>
    </row>
  </sheetData>
  <mergeCells count="12">
    <mergeCell ref="A122:B122"/>
    <mergeCell ref="A106:B106"/>
    <mergeCell ref="A1:F1"/>
    <mergeCell ref="A2:F2"/>
    <mergeCell ref="A120:B120"/>
    <mergeCell ref="A121:B121"/>
    <mergeCell ref="A109:E110"/>
    <mergeCell ref="A115:B115"/>
    <mergeCell ref="A116:B116"/>
    <mergeCell ref="A117:B117"/>
    <mergeCell ref="A118:B118"/>
    <mergeCell ref="A119:B119"/>
  </mergeCells>
  <phoneticPr fontId="17" type="noConversion"/>
  <pageMargins left="0.78740157480314965" right="0.78740157480314965" top="0.78740157480314965" bottom="0.78740157480314965" header="0.51181102362204722" footer="0.51181102362204722"/>
  <pageSetup paperSize="9" scale="75" firstPageNumber="5" orientation="portrait" useFirstPageNumber="1" r:id="rId1"/>
  <headerFooter alignWithMargins="0">
    <oddFooter xml:space="preserve">&amp;L&amp;"Arial,Kurzíva"Zastupitelstvo Olomouckého kraje 28. 4. 2025
8.3. - Rozpočet Olomouckého kraje 2025 - plnění rozpočtu k 31. 3. 2025
Příloha č.2 - Plnění rozpočtu Olomouckého kraje k 31. 3. 2025&amp;R&amp;"Arial,Kurzíva"Strana &amp;P (Celkem 8)
</oddFooter>
  </headerFooter>
  <rowBreaks count="1" manualBreakCount="1">
    <brk id="63" max="5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</sheetPr>
  <dimension ref="A1:G30"/>
  <sheetViews>
    <sheetView showGridLines="0" view="pageBreakPreview" zoomScale="110" zoomScaleNormal="100" zoomScaleSheetLayoutView="110" workbookViewId="0">
      <selection activeCell="F16" sqref="F16"/>
    </sheetView>
  </sheetViews>
  <sheetFormatPr defaultColWidth="9.140625" defaultRowHeight="12.75" x14ac:dyDescent="0.2"/>
  <cols>
    <col min="1" max="1" width="40.5703125" style="1" customWidth="1"/>
    <col min="2" max="2" width="15.85546875" style="1" customWidth="1"/>
    <col min="3" max="3" width="15.5703125" style="166" customWidth="1"/>
    <col min="4" max="4" width="15.7109375" style="166" customWidth="1"/>
    <col min="5" max="5" width="7" style="1" customWidth="1"/>
    <col min="6" max="6" width="10.85546875" style="1" bestFit="1" customWidth="1"/>
    <col min="7" max="7" width="10.140625" style="1" bestFit="1" customWidth="1"/>
    <col min="8" max="16384" width="9.140625" style="1"/>
  </cols>
  <sheetData>
    <row r="1" spans="1:7" ht="20.25" x14ac:dyDescent="0.3">
      <c r="A1" s="527" t="s">
        <v>155</v>
      </c>
      <c r="B1" s="527"/>
      <c r="C1" s="527"/>
      <c r="D1" s="527"/>
      <c r="E1" s="527"/>
    </row>
    <row r="3" spans="1:7" x14ac:dyDescent="0.2">
      <c r="A3" s="522" t="s">
        <v>97</v>
      </c>
      <c r="B3" s="522"/>
      <c r="C3" s="522"/>
      <c r="D3" s="522"/>
      <c r="E3" s="522"/>
    </row>
    <row r="4" spans="1:7" ht="30.75" customHeight="1" x14ac:dyDescent="0.2">
      <c r="A4" s="522"/>
      <c r="B4" s="522"/>
      <c r="C4" s="522"/>
      <c r="D4" s="522"/>
      <c r="E4" s="522"/>
    </row>
    <row r="6" spans="1:7" ht="13.5" thickBot="1" x14ac:dyDescent="0.25">
      <c r="B6" s="9"/>
      <c r="C6" s="171"/>
      <c r="D6" s="167"/>
      <c r="E6" s="2" t="s">
        <v>0</v>
      </c>
    </row>
    <row r="7" spans="1:7" ht="14.25" thickTop="1" thickBot="1" x14ac:dyDescent="0.25">
      <c r="A7" s="262" t="s">
        <v>88</v>
      </c>
      <c r="B7" s="263" t="s">
        <v>11</v>
      </c>
      <c r="C7" s="264" t="s">
        <v>12</v>
      </c>
      <c r="D7" s="264" t="s">
        <v>4</v>
      </c>
      <c r="E7" s="264" t="s">
        <v>5</v>
      </c>
      <c r="F7" s="13"/>
      <c r="G7" s="13"/>
    </row>
    <row r="8" spans="1:7" ht="14.25" thickTop="1" thickBot="1" x14ac:dyDescent="0.25">
      <c r="A8" s="260">
        <v>1</v>
      </c>
      <c r="B8" s="258">
        <v>2</v>
      </c>
      <c r="C8" s="258">
        <v>3</v>
      </c>
      <c r="D8" s="258">
        <v>4</v>
      </c>
      <c r="E8" s="258" t="s">
        <v>6</v>
      </c>
      <c r="F8" s="13"/>
      <c r="G8" s="13"/>
    </row>
    <row r="9" spans="1:7" ht="15" hidden="1" thickTop="1" x14ac:dyDescent="0.2">
      <c r="A9" s="241" t="s">
        <v>114</v>
      </c>
      <c r="B9" s="242">
        <v>0</v>
      </c>
      <c r="C9" s="243">
        <v>0</v>
      </c>
      <c r="D9" s="243">
        <v>0</v>
      </c>
      <c r="E9" s="80" t="e">
        <f>(D9/C9)*100</f>
        <v>#DIV/0!</v>
      </c>
      <c r="F9" s="13"/>
      <c r="G9" s="13"/>
    </row>
    <row r="10" spans="1:7" ht="29.25" thickTop="1" x14ac:dyDescent="0.2">
      <c r="A10" s="239" t="s">
        <v>115</v>
      </c>
      <c r="B10" s="244">
        <v>1910000</v>
      </c>
      <c r="C10" s="240">
        <v>2579191</v>
      </c>
      <c r="D10" s="240">
        <v>-2106643</v>
      </c>
      <c r="E10" s="486">
        <f>(D10/C10)*100</f>
        <v>-81.678441030540199</v>
      </c>
      <c r="F10" s="13"/>
      <c r="G10" s="13"/>
    </row>
    <row r="11" spans="1:7" ht="28.5" hidden="1" x14ac:dyDescent="0.2">
      <c r="A11" s="239" t="s">
        <v>119</v>
      </c>
      <c r="B11" s="244"/>
      <c r="C11" s="240"/>
      <c r="D11" s="240"/>
      <c r="E11" s="486"/>
      <c r="F11" s="13"/>
      <c r="G11" s="13"/>
    </row>
    <row r="12" spans="1:7" ht="28.5" hidden="1" x14ac:dyDescent="0.2">
      <c r="A12" s="239" t="s">
        <v>121</v>
      </c>
      <c r="B12" s="244">
        <v>0</v>
      </c>
      <c r="C12" s="240">
        <v>0</v>
      </c>
      <c r="D12" s="240">
        <v>0</v>
      </c>
      <c r="E12" s="486">
        <v>0</v>
      </c>
      <c r="F12" s="13"/>
      <c r="G12" s="13"/>
    </row>
    <row r="13" spans="1:7" ht="14.25" hidden="1" x14ac:dyDescent="0.2">
      <c r="A13" s="239" t="s">
        <v>120</v>
      </c>
      <c r="B13" s="244">
        <v>0</v>
      </c>
      <c r="C13" s="240">
        <v>0</v>
      </c>
      <c r="D13" s="240">
        <v>0</v>
      </c>
      <c r="E13" s="486">
        <v>0</v>
      </c>
      <c r="F13" s="13"/>
      <c r="G13" s="13"/>
    </row>
    <row r="14" spans="1:7" ht="15" x14ac:dyDescent="0.25">
      <c r="A14" s="220" t="s">
        <v>116</v>
      </c>
      <c r="B14" s="224">
        <v>-233957</v>
      </c>
      <c r="C14" s="229">
        <v>-259863</v>
      </c>
      <c r="D14" s="229">
        <v>-25906</v>
      </c>
      <c r="E14" s="486">
        <f>(D14/C14)*100</f>
        <v>9.9690991022192463</v>
      </c>
      <c r="F14" s="27"/>
      <c r="G14" s="13"/>
    </row>
    <row r="15" spans="1:7" ht="43.5" x14ac:dyDescent="0.25">
      <c r="A15" s="332" t="s">
        <v>129</v>
      </c>
      <c r="B15" s="333">
        <v>0</v>
      </c>
      <c r="C15" s="334">
        <v>0</v>
      </c>
      <c r="D15" s="334">
        <v>-2088</v>
      </c>
      <c r="E15" s="487"/>
      <c r="F15" s="27"/>
      <c r="G15" s="13"/>
    </row>
    <row r="16" spans="1:7" ht="16.5" thickBot="1" x14ac:dyDescent="0.3">
      <c r="A16" s="234" t="s">
        <v>89</v>
      </c>
      <c r="B16" s="235">
        <f>SUM(B9:B15)</f>
        <v>1676043</v>
      </c>
      <c r="C16" s="235">
        <f>SUM(C9:C15)</f>
        <v>2319328</v>
      </c>
      <c r="D16" s="235">
        <f>SUM(D9:D15)</f>
        <v>-2134637</v>
      </c>
      <c r="E16" s="488">
        <f>(D16/C16)*100</f>
        <v>-92.036874473985563</v>
      </c>
      <c r="F16" s="13"/>
      <c r="G16" s="13"/>
    </row>
    <row r="17" spans="1:7" ht="13.5" thickTop="1" x14ac:dyDescent="0.2">
      <c r="A17" s="222"/>
      <c r="B17" s="222"/>
      <c r="C17" s="223"/>
      <c r="D17" s="223"/>
      <c r="E17" s="222"/>
      <c r="F17" s="13"/>
      <c r="G17" s="13"/>
    </row>
    <row r="18" spans="1:7" x14ac:dyDescent="0.2">
      <c r="A18" s="222"/>
      <c r="B18" s="222"/>
      <c r="C18" s="223"/>
      <c r="D18" s="223"/>
      <c r="E18" s="222"/>
      <c r="F18" s="13"/>
      <c r="G18" s="13"/>
    </row>
    <row r="19" spans="1:7" x14ac:dyDescent="0.2">
      <c r="A19" s="222"/>
      <c r="B19" s="222"/>
      <c r="C19" s="223"/>
      <c r="D19" s="223"/>
      <c r="E19" s="222"/>
      <c r="F19" s="13"/>
      <c r="G19" s="13"/>
    </row>
    <row r="20" spans="1:7" x14ac:dyDescent="0.2">
      <c r="A20" s="222"/>
      <c r="B20" s="222"/>
      <c r="C20" s="223"/>
      <c r="D20" s="223"/>
      <c r="E20" s="222"/>
      <c r="F20" s="13"/>
      <c r="G20" s="13"/>
    </row>
    <row r="21" spans="1:7" x14ac:dyDescent="0.2">
      <c r="A21" s="222"/>
      <c r="B21" s="222"/>
      <c r="C21" s="223"/>
      <c r="D21" s="223"/>
      <c r="E21" s="222"/>
      <c r="F21" s="13"/>
      <c r="G21" s="13"/>
    </row>
    <row r="22" spans="1:7" x14ac:dyDescent="0.2">
      <c r="A22" s="222"/>
      <c r="B22" s="222"/>
      <c r="C22" s="223"/>
      <c r="D22" s="223"/>
      <c r="E22" s="222"/>
      <c r="F22" s="13"/>
      <c r="G22" s="13"/>
    </row>
    <row r="23" spans="1:7" ht="25.5" customHeight="1" x14ac:dyDescent="0.2">
      <c r="A23" s="222"/>
      <c r="B23" s="222"/>
      <c r="C23" s="223"/>
      <c r="D23" s="223"/>
      <c r="E23" s="222"/>
      <c r="F23" s="13"/>
      <c r="G23" s="13"/>
    </row>
    <row r="24" spans="1:7" x14ac:dyDescent="0.2">
      <c r="A24" s="222"/>
      <c r="B24" s="222"/>
      <c r="C24" s="223"/>
      <c r="D24" s="223"/>
      <c r="E24" s="222"/>
    </row>
    <row r="30" spans="1:7" x14ac:dyDescent="0.2">
      <c r="C30" s="1"/>
      <c r="D30" s="1"/>
    </row>
  </sheetData>
  <mergeCells count="2">
    <mergeCell ref="A3:E4"/>
    <mergeCell ref="A1:E1"/>
  </mergeCells>
  <pageMargins left="0.98425196850393704" right="0" top="0.98425196850393704" bottom="0.98425196850393704" header="0.51181102362204722" footer="0.51181102362204722"/>
  <pageSetup paperSize="9" scale="85" firstPageNumber="7" orientation="portrait" cellComments="asDisplayed" useFirstPageNumber="1" r:id="rId1"/>
  <headerFooter alignWithMargins="0">
    <oddFooter xml:space="preserve">&amp;L&amp;"Arial CE,Kurzíva"Zastupitelstvo Olomouckého kraje 28. 4. 2025
8.3. - Rozpočet Olomouckého kraje 2025 - plnění rozpočtu k 31. 3. 2025
Příloha č. 2 - Plnění rozpočtu Olomouckého kraje k 31. 3. 2025&amp;R&amp;"Arial CE,Kurzíva"Strana &amp;P (Celkem 8)
</oddFooter>
  </headerFooter>
  <ignoredErrors>
    <ignoredError sqref="B16:D16" formulaRange="1"/>
  </ignoredError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11"/>
  </sheetPr>
  <dimension ref="A1:U11"/>
  <sheetViews>
    <sheetView showGridLines="0" view="pageBreakPreview" zoomScale="110" zoomScaleNormal="100" zoomScaleSheetLayoutView="110" workbookViewId="0">
      <selection activeCell="A2" sqref="A2"/>
    </sheetView>
  </sheetViews>
  <sheetFormatPr defaultRowHeight="12.75" x14ac:dyDescent="0.2"/>
  <cols>
    <col min="4" max="4" width="31.42578125" customWidth="1"/>
    <col min="5" max="5" width="15.28515625" customWidth="1"/>
    <col min="6" max="6" width="15.140625" customWidth="1"/>
    <col min="7" max="7" width="15" customWidth="1"/>
    <col min="8" max="8" width="8" customWidth="1"/>
  </cols>
  <sheetData>
    <row r="1" spans="1:21" ht="20.25" x14ac:dyDescent="0.3">
      <c r="A1" s="550" t="s">
        <v>157</v>
      </c>
      <c r="B1" s="550"/>
      <c r="C1" s="550"/>
      <c r="D1" s="550"/>
      <c r="E1" s="550"/>
      <c r="F1" s="550"/>
      <c r="G1" s="550"/>
      <c r="H1" s="550"/>
    </row>
    <row r="2" spans="1:21" s="90" customFormat="1" ht="15.75" x14ac:dyDescent="0.25">
      <c r="A2" s="91"/>
      <c r="B2" s="88"/>
      <c r="C2" s="88"/>
      <c r="D2" s="88"/>
      <c r="E2" s="89"/>
      <c r="F2" s="89"/>
      <c r="G2" s="89"/>
      <c r="H2" s="89"/>
    </row>
    <row r="3" spans="1:21" s="90" customFormat="1" ht="14.25" customHeight="1" x14ac:dyDescent="0.25">
      <c r="A3" s="92"/>
      <c r="B3" s="88"/>
      <c r="C3" s="88"/>
      <c r="D3" s="88"/>
      <c r="E3" s="89"/>
      <c r="F3" s="89"/>
      <c r="G3" s="89"/>
      <c r="H3" s="4"/>
    </row>
    <row r="4" spans="1:21" s="90" customFormat="1" ht="14.25" customHeight="1" thickBot="1" x14ac:dyDescent="0.3">
      <c r="A4" s="92"/>
      <c r="B4" s="88"/>
      <c r="C4" s="88"/>
      <c r="D4" s="88"/>
      <c r="E4" s="89"/>
      <c r="F4" s="89"/>
      <c r="G4" s="551" t="s">
        <v>73</v>
      </c>
      <c r="H4" s="551"/>
    </row>
    <row r="5" spans="1:21" s="90" customFormat="1" ht="14.25" customHeight="1" thickTop="1" thickBot="1" x14ac:dyDescent="0.25">
      <c r="A5" s="269"/>
      <c r="B5" s="270"/>
      <c r="C5" s="270"/>
      <c r="D5" s="271"/>
      <c r="E5" s="258" t="s">
        <v>11</v>
      </c>
      <c r="F5" s="258" t="s">
        <v>12</v>
      </c>
      <c r="G5" s="258" t="s">
        <v>4</v>
      </c>
      <c r="H5" s="261" t="s">
        <v>5</v>
      </c>
    </row>
    <row r="6" spans="1:21" s="90" customFormat="1" ht="14.25" customHeight="1" thickTop="1" thickBot="1" x14ac:dyDescent="0.25">
      <c r="A6" s="547">
        <v>1</v>
      </c>
      <c r="B6" s="548"/>
      <c r="C6" s="548"/>
      <c r="D6" s="549"/>
      <c r="E6" s="272">
        <v>2</v>
      </c>
      <c r="F6" s="272">
        <v>3</v>
      </c>
      <c r="G6" s="272">
        <v>4</v>
      </c>
      <c r="H6" s="273" t="s">
        <v>95</v>
      </c>
    </row>
    <row r="7" spans="1:21" s="93" customFormat="1" ht="19.5" thickTop="1" x14ac:dyDescent="0.4">
      <c r="A7" s="274" t="s">
        <v>38</v>
      </c>
      <c r="B7" s="275"/>
      <c r="C7" s="275"/>
      <c r="D7" s="276"/>
      <c r="E7" s="277">
        <f>'Příjmy OK - příloha č. 2'!B15</f>
        <v>23512338</v>
      </c>
      <c r="F7" s="277">
        <f>'Příjmy OK - příloha č. 2'!C15</f>
        <v>23849137</v>
      </c>
      <c r="G7" s="277">
        <f>'Příjmy OK - příloha č. 2'!D15</f>
        <v>8252830</v>
      </c>
      <c r="H7" s="489">
        <f>(G7/F7)*100</f>
        <v>34.604312935935582</v>
      </c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</row>
    <row r="8" spans="1:21" s="93" customFormat="1" ht="18.75" x14ac:dyDescent="0.4">
      <c r="A8" s="278" t="s">
        <v>39</v>
      </c>
      <c r="B8" s="279"/>
      <c r="C8" s="279"/>
      <c r="D8" s="280"/>
      <c r="E8" s="281">
        <f>'Výdaje OK - příloha č. 2'!C108</f>
        <v>25188381</v>
      </c>
      <c r="F8" s="281">
        <f>'Výdaje OK - příloha č. 2'!D108</f>
        <v>26168465</v>
      </c>
      <c r="G8" s="281">
        <f>'Výdaje OK - příloha č. 2'!E108</f>
        <v>6118193</v>
      </c>
      <c r="H8" s="490">
        <f>(G8/F8)*100</f>
        <v>23.380022481257498</v>
      </c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  <c r="U8" s="90"/>
    </row>
    <row r="9" spans="1:21" s="93" customFormat="1" ht="18.75" x14ac:dyDescent="0.4">
      <c r="A9" s="278" t="s">
        <v>88</v>
      </c>
      <c r="B9" s="279"/>
      <c r="C9" s="279"/>
      <c r="D9" s="280"/>
      <c r="E9" s="281">
        <f>'Financování OK - příloha č. 2'!B16</f>
        <v>1676043</v>
      </c>
      <c r="F9" s="281">
        <f>'Financování OK - příloha č. 2'!C16</f>
        <v>2319328</v>
      </c>
      <c r="G9" s="281">
        <f>'Financování OK - příloha č. 2'!D16</f>
        <v>-2134637</v>
      </c>
      <c r="H9" s="490">
        <f>(G9/F9)*100</f>
        <v>-92.036874473985563</v>
      </c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</row>
    <row r="10" spans="1:21" s="93" customFormat="1" ht="21.75" customHeight="1" thickBot="1" x14ac:dyDescent="0.3">
      <c r="A10" s="282" t="s">
        <v>92</v>
      </c>
      <c r="B10" s="283"/>
      <c r="C10" s="283"/>
      <c r="D10" s="283"/>
      <c r="E10" s="284"/>
      <c r="F10" s="285"/>
      <c r="G10" s="286">
        <f>G7-G8</f>
        <v>2134637</v>
      </c>
      <c r="H10" s="287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</row>
    <row r="11" spans="1:21" ht="13.5" thickTop="1" x14ac:dyDescent="0.2"/>
  </sheetData>
  <mergeCells count="3">
    <mergeCell ref="A6:D6"/>
    <mergeCell ref="A1:H1"/>
    <mergeCell ref="G4:H4"/>
  </mergeCells>
  <phoneticPr fontId="5" type="noConversion"/>
  <pageMargins left="0.59055118110236227" right="0.59055118110236227" top="0.78740157480314965" bottom="0.78740157480314965" header="0.51181102362204722" footer="0.51181102362204722"/>
  <pageSetup paperSize="9" scale="80" firstPageNumber="8" orientation="portrait" useFirstPageNumber="1" r:id="rId1"/>
  <headerFooter alignWithMargins="0">
    <oddFooter xml:space="preserve">&amp;L&amp;"Arial CE,Kurzíva"Zastupitelstvo Olomouckého kraje 28. 4. 2025
8.3. - Rozpočet Olomouckého kraje 2025 - plnění rozpočtu k 31. 3. 2025
Příloha č.2 - Plnění rozpočtu Olomouckého kraje k 31. 3. 2025&amp;R&amp;"Arial CE,Kurzíva"Strana &amp;P (Celkem 8)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24"/>
  </sheetPr>
  <dimension ref="A1:N62"/>
  <sheetViews>
    <sheetView showGridLines="0" zoomScaleNormal="100" workbookViewId="0">
      <selection activeCell="B28" sqref="B28"/>
    </sheetView>
  </sheetViews>
  <sheetFormatPr defaultColWidth="9.140625" defaultRowHeight="14.25" x14ac:dyDescent="0.2"/>
  <cols>
    <col min="1" max="1" width="39.42578125" style="22" customWidth="1"/>
    <col min="2" max="2" width="5.140625" style="109" customWidth="1"/>
    <col min="3" max="3" width="14.85546875" style="20" customWidth="1"/>
    <col min="4" max="5" width="16" style="20" customWidth="1"/>
    <col min="6" max="6" width="8.42578125" style="20" customWidth="1"/>
    <col min="7" max="8" width="16.28515625" style="20" customWidth="1"/>
    <col min="9" max="9" width="16.7109375" style="20" customWidth="1"/>
    <col min="10" max="10" width="18.140625" style="15" customWidth="1"/>
    <col min="11" max="11" width="21" style="21" customWidth="1"/>
    <col min="12" max="12" width="2.7109375" style="17" customWidth="1"/>
    <col min="13" max="13" width="16.5703125" style="17" customWidth="1"/>
    <col min="14" max="14" width="17.5703125" style="16" customWidth="1"/>
    <col min="15" max="16" width="9.140625" style="17"/>
    <col min="17" max="17" width="11.140625" style="17" bestFit="1" customWidth="1"/>
    <col min="18" max="16384" width="9.140625" style="17"/>
  </cols>
  <sheetData>
    <row r="1" spans="1:14" ht="23.25" x14ac:dyDescent="0.35">
      <c r="A1" s="532" t="s">
        <v>74</v>
      </c>
      <c r="B1" s="552"/>
      <c r="C1" s="552"/>
      <c r="D1" s="552"/>
      <c r="E1" s="552"/>
      <c r="F1" s="552"/>
      <c r="G1" s="173"/>
      <c r="H1" s="173"/>
      <c r="I1" s="173"/>
      <c r="K1" s="16"/>
    </row>
    <row r="2" spans="1:14" ht="15" thickBot="1" x14ac:dyDescent="0.25">
      <c r="F2" s="23" t="s">
        <v>0</v>
      </c>
      <c r="G2" s="23"/>
      <c r="H2" s="23"/>
      <c r="I2" s="23"/>
    </row>
    <row r="3" spans="1:14" s="25" customFormat="1" thickTop="1" thickBot="1" x14ac:dyDescent="0.25">
      <c r="A3" s="155" t="s">
        <v>9</v>
      </c>
      <c r="B3" s="156" t="s">
        <v>10</v>
      </c>
      <c r="C3" s="157" t="s">
        <v>11</v>
      </c>
      <c r="D3" s="157" t="s">
        <v>12</v>
      </c>
      <c r="E3" s="157" t="s">
        <v>4</v>
      </c>
      <c r="F3" s="158" t="s">
        <v>5</v>
      </c>
      <c r="G3" s="24"/>
      <c r="H3" s="24"/>
      <c r="I3" s="24"/>
      <c r="J3" s="73"/>
      <c r="K3" s="66"/>
      <c r="N3" s="26"/>
    </row>
    <row r="4" spans="1:14" s="35" customFormat="1" ht="15.75" thickTop="1" x14ac:dyDescent="0.25">
      <c r="A4" s="209" t="s">
        <v>18</v>
      </c>
      <c r="B4" s="110">
        <v>3</v>
      </c>
      <c r="C4" s="83">
        <f>C5+C6+C7+C8+C9</f>
        <v>299231</v>
      </c>
      <c r="D4" s="83">
        <f>D5+D6+D7+D8+D9</f>
        <v>303137</v>
      </c>
      <c r="E4" s="83">
        <f>E5+E6+E7+E8+E9</f>
        <v>187892</v>
      </c>
      <c r="F4" s="210">
        <f t="shared" ref="F4:F9" si="0">(E4/D4)*100</f>
        <v>61.982535949092323</v>
      </c>
      <c r="G4" s="27"/>
      <c r="H4" s="27"/>
      <c r="I4" s="27"/>
      <c r="J4" s="27"/>
      <c r="K4" s="67"/>
      <c r="N4" s="36"/>
    </row>
    <row r="5" spans="1:14" s="35" customFormat="1" x14ac:dyDescent="0.2">
      <c r="A5" s="211" t="s">
        <v>14</v>
      </c>
      <c r="B5" s="37"/>
      <c r="C5" s="30">
        <v>291081</v>
      </c>
      <c r="D5" s="30">
        <v>293591</v>
      </c>
      <c r="E5" s="30">
        <v>183624</v>
      </c>
      <c r="F5" s="212">
        <f t="shared" si="0"/>
        <v>62.544151557779358</v>
      </c>
      <c r="G5" s="31"/>
      <c r="H5" s="31"/>
      <c r="I5" s="31"/>
      <c r="J5" s="31"/>
      <c r="K5" s="55"/>
      <c r="N5" s="36"/>
    </row>
    <row r="6" spans="1:14" s="35" customFormat="1" x14ac:dyDescent="0.2">
      <c r="A6" s="211" t="s">
        <v>15</v>
      </c>
      <c r="B6" s="37"/>
      <c r="C6" s="30">
        <v>2200</v>
      </c>
      <c r="D6" s="30">
        <v>2480</v>
      </c>
      <c r="E6" s="30">
        <v>123</v>
      </c>
      <c r="F6" s="212">
        <f t="shared" si="0"/>
        <v>4.959677419354839</v>
      </c>
      <c r="G6" s="31"/>
      <c r="H6" s="31"/>
      <c r="I6" s="31"/>
      <c r="J6" s="31"/>
      <c r="K6" s="55"/>
      <c r="N6" s="36"/>
    </row>
    <row r="7" spans="1:14" s="32" customFormat="1" x14ac:dyDescent="0.2">
      <c r="A7" s="213" t="s">
        <v>16</v>
      </c>
      <c r="B7" s="29"/>
      <c r="C7" s="30">
        <v>0</v>
      </c>
      <c r="D7" s="30">
        <v>1116</v>
      </c>
      <c r="E7" s="30">
        <v>310</v>
      </c>
      <c r="F7" s="212">
        <f t="shared" si="0"/>
        <v>27.777777777777779</v>
      </c>
      <c r="G7" s="31"/>
      <c r="H7" s="85">
        <f>D7+D8</f>
        <v>1116</v>
      </c>
      <c r="I7" s="85">
        <f>E7+E8</f>
        <v>310</v>
      </c>
      <c r="J7" s="85"/>
      <c r="K7" s="55"/>
      <c r="N7" s="33"/>
    </row>
    <row r="8" spans="1:14" s="32" customFormat="1" x14ac:dyDescent="0.2">
      <c r="A8" s="213" t="s">
        <v>17</v>
      </c>
      <c r="B8" s="29"/>
      <c r="C8" s="30">
        <v>0</v>
      </c>
      <c r="D8" s="30">
        <v>0</v>
      </c>
      <c r="E8" s="30">
        <v>0</v>
      </c>
      <c r="F8" s="212">
        <v>0</v>
      </c>
      <c r="G8" s="31"/>
      <c r="H8" s="31"/>
      <c r="I8" s="31"/>
      <c r="J8" s="31"/>
      <c r="K8" s="55"/>
      <c r="N8" s="33"/>
    </row>
    <row r="9" spans="1:14" s="32" customFormat="1" ht="15" thickBot="1" x14ac:dyDescent="0.25">
      <c r="A9" s="214" t="s">
        <v>43</v>
      </c>
      <c r="B9" s="215"/>
      <c r="C9" s="216">
        <v>5950</v>
      </c>
      <c r="D9" s="216">
        <v>5950</v>
      </c>
      <c r="E9" s="216">
        <v>3835</v>
      </c>
      <c r="F9" s="217">
        <f t="shared" si="0"/>
        <v>64.453781512605048</v>
      </c>
      <c r="G9" s="31"/>
      <c r="H9" s="31"/>
      <c r="I9" s="31"/>
      <c r="J9" s="31"/>
      <c r="K9" s="55"/>
      <c r="N9" s="33"/>
    </row>
    <row r="10" spans="1:14" s="32" customFormat="1" ht="12.75" customHeight="1" x14ac:dyDescent="0.2">
      <c r="A10" s="39"/>
      <c r="B10" s="40"/>
      <c r="E10" s="164" t="e">
        <f>SUM(#REF!,#REF!,#REF!,#REF!,#REF!,#REF!,E4,#REF!,#REF!)</f>
        <v>#REF!</v>
      </c>
      <c r="F10" s="42"/>
      <c r="G10" s="42"/>
      <c r="H10" s="42"/>
      <c r="I10" s="42"/>
      <c r="J10" s="70"/>
      <c r="K10" s="46"/>
      <c r="N10" s="33"/>
    </row>
    <row r="11" spans="1:14" s="32" customFormat="1" ht="12.75" customHeight="1" x14ac:dyDescent="0.2">
      <c r="A11" s="39"/>
      <c r="B11" s="40"/>
      <c r="C11" s="47"/>
      <c r="D11" s="43"/>
      <c r="E11" s="164" t="e">
        <f>SUM(#REF!,#REF!,#REF!,#REF!,#REF!,#REF!,C4,#REF!,#REF!)</f>
        <v>#REF!</v>
      </c>
      <c r="F11" s="43"/>
      <c r="G11" s="42"/>
      <c r="H11" s="42"/>
      <c r="I11" s="42"/>
      <c r="J11" s="70"/>
      <c r="K11" s="46"/>
      <c r="N11" s="33"/>
    </row>
    <row r="12" spans="1:14" s="32" customFormat="1" ht="12.75" customHeight="1" x14ac:dyDescent="0.2">
      <c r="A12" s="39"/>
      <c r="B12" s="40"/>
      <c r="C12" s="47"/>
      <c r="D12" s="43"/>
      <c r="E12" s="43"/>
      <c r="F12" s="42"/>
      <c r="G12" s="42"/>
      <c r="H12" s="42"/>
      <c r="I12" s="42"/>
      <c r="J12" s="70"/>
      <c r="K12" s="46"/>
      <c r="N12" s="33"/>
    </row>
    <row r="13" spans="1:14" s="32" customFormat="1" ht="12.75" customHeight="1" x14ac:dyDescent="0.2">
      <c r="A13" s="39"/>
      <c r="B13" s="40"/>
      <c r="C13" s="45"/>
      <c r="D13" s="43"/>
      <c r="E13" s="43"/>
      <c r="F13" s="42"/>
      <c r="G13" s="42"/>
      <c r="H13" s="42"/>
      <c r="I13" s="42"/>
      <c r="J13" s="70"/>
      <c r="K13" s="46"/>
      <c r="N13" s="33"/>
    </row>
    <row r="14" spans="1:14" s="53" customFormat="1" ht="12.75" customHeight="1" x14ac:dyDescent="0.2">
      <c r="A14" s="39"/>
      <c r="B14" s="40"/>
      <c r="C14" s="45"/>
      <c r="D14" s="43"/>
      <c r="E14" s="43"/>
      <c r="F14" s="42"/>
      <c r="G14" s="42"/>
      <c r="H14" s="42"/>
      <c r="I14" s="42"/>
      <c r="J14" s="70"/>
      <c r="K14" s="46"/>
      <c r="N14" s="54"/>
    </row>
    <row r="15" spans="1:14" s="53" customFormat="1" ht="12.75" customHeight="1" x14ac:dyDescent="0.2">
      <c r="A15" s="39"/>
      <c r="B15" s="40"/>
      <c r="C15" s="45"/>
      <c r="D15" s="125"/>
      <c r="E15" s="125"/>
      <c r="F15" s="42"/>
      <c r="G15" s="42"/>
      <c r="H15" s="42"/>
      <c r="I15" s="42"/>
      <c r="J15" s="70"/>
      <c r="K15" s="46"/>
      <c r="N15" s="54"/>
    </row>
    <row r="16" spans="1:14" s="53" customFormat="1" ht="12.75" customHeight="1" x14ac:dyDescent="0.2">
      <c r="A16" s="39"/>
      <c r="B16" s="40"/>
      <c r="C16" s="45"/>
      <c r="D16" s="125"/>
      <c r="E16" s="125"/>
      <c r="F16" s="42"/>
      <c r="G16" s="42"/>
      <c r="H16" s="42"/>
      <c r="I16" s="42"/>
      <c r="J16" s="70"/>
      <c r="K16" s="46"/>
      <c r="N16" s="54"/>
    </row>
    <row r="17" spans="1:14" s="78" customFormat="1" ht="24" customHeight="1" x14ac:dyDescent="0.25">
      <c r="A17" s="191"/>
      <c r="B17" s="191"/>
      <c r="C17" s="192"/>
      <c r="D17" s="193"/>
      <c r="E17" s="192"/>
      <c r="F17" s="194"/>
      <c r="G17" s="27"/>
      <c r="H17" s="27"/>
      <c r="I17" s="27"/>
      <c r="J17" s="74"/>
      <c r="K17" s="71"/>
      <c r="L17" s="43"/>
      <c r="N17" s="79"/>
    </row>
    <row r="18" spans="1:14" s="78" customFormat="1" ht="18" x14ac:dyDescent="0.25">
      <c r="A18" s="195"/>
      <c r="B18" s="196"/>
      <c r="C18" s="197"/>
      <c r="D18" s="197"/>
      <c r="E18" s="197"/>
      <c r="F18" s="194"/>
      <c r="G18" s="27"/>
      <c r="H18" s="27"/>
      <c r="I18" s="27"/>
      <c r="J18" s="75"/>
      <c r="K18" s="72"/>
      <c r="L18" s="41"/>
      <c r="N18" s="79"/>
    </row>
    <row r="19" spans="1:14" s="78" customFormat="1" ht="15" hidden="1" thickTop="1" x14ac:dyDescent="0.2">
      <c r="A19" s="174"/>
      <c r="B19" s="40"/>
      <c r="C19" s="175"/>
      <c r="D19" s="175"/>
      <c r="E19" s="175"/>
      <c r="F19" s="176"/>
      <c r="G19" s="176"/>
      <c r="H19" s="176"/>
      <c r="I19" s="176"/>
      <c r="J19" s="70"/>
      <c r="K19" s="68"/>
      <c r="L19" s="177"/>
      <c r="N19" s="79"/>
    </row>
    <row r="20" spans="1:14" s="78" customFormat="1" ht="15" hidden="1" thickTop="1" x14ac:dyDescent="0.2">
      <c r="A20" s="174"/>
      <c r="B20" s="40"/>
      <c r="C20" s="175"/>
      <c r="D20" s="175"/>
      <c r="E20" s="175"/>
      <c r="F20" s="176"/>
      <c r="G20" s="176"/>
      <c r="H20" s="176"/>
      <c r="I20" s="176"/>
      <c r="J20" s="70"/>
      <c r="K20" s="68"/>
      <c r="L20" s="177"/>
      <c r="N20" s="79"/>
    </row>
    <row r="21" spans="1:14" s="78" customFormat="1" ht="15" hidden="1" thickTop="1" x14ac:dyDescent="0.2">
      <c r="A21" s="174"/>
      <c r="B21" s="40"/>
      <c r="C21" s="175"/>
      <c r="D21" s="175"/>
      <c r="E21" s="175"/>
      <c r="F21" s="176"/>
      <c r="G21" s="176"/>
      <c r="H21" s="176"/>
      <c r="I21" s="176"/>
      <c r="J21" s="70"/>
      <c r="K21" s="68"/>
      <c r="L21" s="177"/>
      <c r="N21" s="79"/>
    </row>
    <row r="22" spans="1:14" s="78" customFormat="1" ht="15.75" hidden="1" thickTop="1" x14ac:dyDescent="0.25">
      <c r="A22" s="174"/>
      <c r="B22" s="40"/>
      <c r="C22" s="178"/>
      <c r="D22" s="178"/>
      <c r="E22" s="178"/>
      <c r="F22" s="179"/>
      <c r="G22" s="179"/>
      <c r="H22" s="179"/>
      <c r="I22" s="179"/>
      <c r="J22" s="70"/>
      <c r="K22" s="67"/>
      <c r="L22" s="177"/>
      <c r="N22" s="79"/>
    </row>
    <row r="23" spans="1:14" s="78" customFormat="1" ht="15" hidden="1" thickTop="1" x14ac:dyDescent="0.2">
      <c r="A23" s="174"/>
      <c r="B23" s="40"/>
      <c r="C23" s="175"/>
      <c r="D23" s="175"/>
      <c r="E23" s="175"/>
      <c r="F23" s="176"/>
      <c r="G23" s="176"/>
      <c r="H23" s="176"/>
      <c r="I23" s="176"/>
      <c r="J23" s="70"/>
      <c r="K23" s="68"/>
      <c r="L23" s="177"/>
      <c r="N23" s="79"/>
    </row>
    <row r="24" spans="1:14" s="78" customFormat="1" ht="15" hidden="1" thickTop="1" x14ac:dyDescent="0.2">
      <c r="A24" s="174"/>
      <c r="B24" s="40"/>
      <c r="C24" s="175"/>
      <c r="D24" s="175"/>
      <c r="E24" s="175"/>
      <c r="F24" s="176"/>
      <c r="G24" s="176"/>
      <c r="H24" s="176"/>
      <c r="I24" s="176"/>
      <c r="J24" s="70"/>
      <c r="K24" s="68"/>
      <c r="L24" s="177"/>
      <c r="N24" s="79"/>
    </row>
    <row r="25" spans="1:14" s="78" customFormat="1" ht="15.75" hidden="1" thickTop="1" x14ac:dyDescent="0.25">
      <c r="A25" s="174"/>
      <c r="B25" s="40"/>
      <c r="C25" s="180"/>
      <c r="D25" s="180"/>
      <c r="E25" s="180"/>
      <c r="F25" s="175"/>
      <c r="G25" s="175"/>
      <c r="H25" s="175"/>
      <c r="I25" s="175"/>
      <c r="J25" s="70"/>
      <c r="K25" s="181"/>
      <c r="L25" s="177"/>
      <c r="N25" s="79"/>
    </row>
    <row r="26" spans="1:14" s="78" customFormat="1" ht="15" hidden="1" thickTop="1" x14ac:dyDescent="0.2">
      <c r="A26" s="174"/>
      <c r="B26" s="40"/>
      <c r="C26" s="182"/>
      <c r="D26" s="182"/>
      <c r="E26" s="182"/>
      <c r="F26" s="175"/>
      <c r="G26" s="175"/>
      <c r="H26" s="175"/>
      <c r="I26" s="175"/>
      <c r="J26" s="70"/>
      <c r="K26" s="183"/>
      <c r="L26" s="177"/>
      <c r="N26" s="79"/>
    </row>
    <row r="27" spans="1:14" s="78" customFormat="1" ht="18.75" hidden="1" thickTop="1" x14ac:dyDescent="0.25">
      <c r="A27" s="58"/>
      <c r="B27" s="59"/>
      <c r="C27" s="60"/>
      <c r="D27" s="60"/>
      <c r="E27" s="60"/>
      <c r="F27" s="61"/>
      <c r="G27" s="61"/>
      <c r="H27" s="61"/>
      <c r="I27" s="61"/>
      <c r="J27" s="70"/>
      <c r="K27" s="62"/>
      <c r="L27" s="177"/>
      <c r="N27" s="79"/>
    </row>
    <row r="28" spans="1:14" s="78" customFormat="1" ht="18" x14ac:dyDescent="0.25">
      <c r="A28" s="58"/>
      <c r="B28" s="59"/>
      <c r="C28" s="60"/>
      <c r="D28" s="60"/>
      <c r="E28" s="60"/>
      <c r="F28" s="63"/>
      <c r="G28" s="63"/>
      <c r="H28" s="63"/>
      <c r="I28" s="63"/>
      <c r="J28" s="70"/>
      <c r="K28" s="62"/>
      <c r="L28" s="177"/>
      <c r="N28" s="79"/>
    </row>
    <row r="29" spans="1:14" s="78" customFormat="1" ht="12.75" x14ac:dyDescent="0.2">
      <c r="A29" s="553"/>
      <c r="B29" s="554"/>
      <c r="C29" s="554"/>
      <c r="D29" s="554"/>
      <c r="E29" s="554"/>
      <c r="F29" s="554"/>
      <c r="G29" s="64"/>
      <c r="H29" s="64"/>
      <c r="I29" s="64"/>
      <c r="J29" s="70"/>
      <c r="K29" s="65"/>
      <c r="L29" s="177"/>
      <c r="N29" s="79"/>
    </row>
    <row r="30" spans="1:14" s="78" customFormat="1" ht="12.75" x14ac:dyDescent="0.2">
      <c r="A30" s="554"/>
      <c r="B30" s="554"/>
      <c r="C30" s="554"/>
      <c r="D30" s="554"/>
      <c r="E30" s="554"/>
      <c r="F30" s="554"/>
      <c r="G30" s="64"/>
      <c r="H30" s="64"/>
      <c r="I30" s="64"/>
      <c r="J30" s="70"/>
      <c r="K30" s="65"/>
      <c r="L30" s="177"/>
      <c r="N30" s="79"/>
    </row>
    <row r="31" spans="1:14" s="78" customFormat="1" hidden="1" x14ac:dyDescent="0.2">
      <c r="A31" s="174"/>
      <c r="B31" s="40"/>
      <c r="C31" s="175"/>
      <c r="D31" s="175"/>
      <c r="E31" s="175"/>
      <c r="F31" s="175"/>
      <c r="G31" s="175"/>
      <c r="H31" s="175"/>
      <c r="I31" s="175"/>
      <c r="J31" s="70"/>
      <c r="K31" s="68"/>
      <c r="L31" s="43"/>
      <c r="N31" s="79"/>
    </row>
    <row r="32" spans="1:14" s="78" customFormat="1" hidden="1" x14ac:dyDescent="0.2">
      <c r="A32" s="49"/>
      <c r="B32" s="40"/>
      <c r="C32" s="175"/>
      <c r="D32" s="175"/>
      <c r="E32" s="175"/>
      <c r="F32" s="175"/>
      <c r="G32" s="175"/>
      <c r="H32" s="175"/>
      <c r="I32" s="175"/>
      <c r="J32" s="70"/>
      <c r="K32" s="68"/>
      <c r="N32" s="79"/>
    </row>
    <row r="33" spans="1:14" s="78" customFormat="1" hidden="1" x14ac:dyDescent="0.2">
      <c r="A33" s="28"/>
      <c r="B33" s="40"/>
      <c r="C33" s="175"/>
      <c r="D33" s="175"/>
      <c r="E33" s="175"/>
      <c r="F33" s="175"/>
      <c r="G33" s="175"/>
      <c r="H33" s="175"/>
      <c r="I33" s="175"/>
      <c r="J33" s="70"/>
      <c r="K33" s="68"/>
      <c r="N33" s="79"/>
    </row>
    <row r="34" spans="1:14" s="78" customFormat="1" hidden="1" x14ac:dyDescent="0.2">
      <c r="A34" s="34"/>
      <c r="B34" s="40"/>
      <c r="C34" s="175"/>
      <c r="D34" s="175"/>
      <c r="E34" s="175"/>
      <c r="F34" s="175"/>
      <c r="G34" s="175"/>
      <c r="H34" s="175"/>
      <c r="I34" s="175"/>
      <c r="J34" s="70"/>
      <c r="K34" s="68"/>
      <c r="N34" s="79"/>
    </row>
    <row r="35" spans="1:14" s="78" customFormat="1" hidden="1" x14ac:dyDescent="0.2">
      <c r="A35" s="50"/>
      <c r="B35" s="40"/>
      <c r="C35" s="175"/>
      <c r="D35" s="175"/>
      <c r="E35" s="175"/>
      <c r="F35" s="175"/>
      <c r="G35" s="175"/>
      <c r="H35" s="175"/>
      <c r="I35" s="175"/>
      <c r="J35" s="70"/>
      <c r="K35" s="68"/>
      <c r="N35" s="79"/>
    </row>
    <row r="36" spans="1:14" s="78" customFormat="1" hidden="1" x14ac:dyDescent="0.2">
      <c r="A36" s="51"/>
      <c r="B36" s="40"/>
      <c r="C36" s="175"/>
      <c r="D36" s="175"/>
      <c r="E36" s="175"/>
      <c r="F36" s="175"/>
      <c r="G36" s="175"/>
      <c r="H36" s="175"/>
      <c r="I36" s="175"/>
      <c r="J36" s="70"/>
      <c r="K36" s="68"/>
      <c r="N36" s="79"/>
    </row>
    <row r="37" spans="1:14" s="78" customFormat="1" hidden="1" x14ac:dyDescent="0.2">
      <c r="A37" s="49"/>
      <c r="B37" s="40"/>
      <c r="C37" s="175"/>
      <c r="D37" s="175"/>
      <c r="E37" s="175"/>
      <c r="F37" s="175"/>
      <c r="G37" s="175"/>
      <c r="H37" s="175"/>
      <c r="I37" s="175"/>
      <c r="J37" s="70"/>
      <c r="K37" s="68"/>
      <c r="N37" s="79"/>
    </row>
    <row r="38" spans="1:14" s="78" customFormat="1" hidden="1" x14ac:dyDescent="0.2">
      <c r="A38" s="28"/>
      <c r="B38" s="40"/>
      <c r="C38" s="175"/>
      <c r="D38" s="175"/>
      <c r="E38" s="175"/>
      <c r="F38" s="175"/>
      <c r="G38" s="175"/>
      <c r="H38" s="175"/>
      <c r="I38" s="175"/>
      <c r="J38" s="70"/>
      <c r="K38" s="68"/>
      <c r="N38" s="79"/>
    </row>
    <row r="39" spans="1:14" s="78" customFormat="1" hidden="1" x14ac:dyDescent="0.2">
      <c r="A39" s="50"/>
      <c r="B39" s="40"/>
      <c r="C39" s="175"/>
      <c r="D39" s="175"/>
      <c r="E39" s="175"/>
      <c r="F39" s="175"/>
      <c r="G39" s="175"/>
      <c r="H39" s="175"/>
      <c r="I39" s="175"/>
      <c r="J39" s="70"/>
      <c r="K39" s="68"/>
      <c r="N39" s="79"/>
    </row>
    <row r="40" spans="1:14" s="78" customFormat="1" hidden="1" x14ac:dyDescent="0.2">
      <c r="A40" s="38"/>
      <c r="B40" s="40"/>
      <c r="C40" s="175"/>
      <c r="D40" s="175"/>
      <c r="E40" s="175"/>
      <c r="F40" s="175"/>
      <c r="G40" s="175"/>
      <c r="H40" s="175"/>
      <c r="I40" s="175"/>
      <c r="J40" s="70"/>
      <c r="K40" s="68"/>
      <c r="N40" s="79"/>
    </row>
    <row r="41" spans="1:14" s="78" customFormat="1" hidden="1" x14ac:dyDescent="0.2">
      <c r="A41" s="174"/>
      <c r="B41" s="40"/>
      <c r="C41" s="175"/>
      <c r="D41" s="175"/>
      <c r="E41" s="175"/>
      <c r="F41" s="175"/>
      <c r="G41" s="175"/>
      <c r="H41" s="175"/>
      <c r="I41" s="175"/>
      <c r="J41" s="70"/>
      <c r="K41" s="68"/>
      <c r="N41" s="79"/>
    </row>
    <row r="42" spans="1:14" s="78" customFormat="1" hidden="1" x14ac:dyDescent="0.2">
      <c r="A42" s="174"/>
      <c r="B42" s="40"/>
      <c r="C42" s="175"/>
      <c r="D42" s="175"/>
      <c r="E42" s="175"/>
      <c r="F42" s="175"/>
      <c r="G42" s="175"/>
      <c r="H42" s="175"/>
      <c r="I42" s="175"/>
      <c r="J42" s="70"/>
      <c r="K42" s="68"/>
      <c r="N42" s="79"/>
    </row>
    <row r="43" spans="1:14" s="78" customFormat="1" x14ac:dyDescent="0.2">
      <c r="A43" s="174"/>
      <c r="B43" s="40"/>
      <c r="C43" s="175"/>
      <c r="D43" s="175"/>
      <c r="E43" s="175"/>
      <c r="F43" s="175"/>
      <c r="G43" s="175"/>
      <c r="H43" s="175"/>
      <c r="I43" s="175"/>
      <c r="J43" s="70"/>
      <c r="K43" s="68"/>
      <c r="N43" s="79"/>
    </row>
    <row r="44" spans="1:14" s="78" customFormat="1" ht="15" x14ac:dyDescent="0.25">
      <c r="A44" s="198"/>
      <c r="B44" s="40"/>
      <c r="C44" s="175"/>
      <c r="D44" s="175"/>
      <c r="E44" s="175"/>
      <c r="F44" s="184"/>
      <c r="G44" s="175"/>
      <c r="H44" s="175"/>
      <c r="I44" s="175"/>
      <c r="J44" s="70"/>
      <c r="K44" s="68"/>
      <c r="N44" s="79"/>
    </row>
    <row r="45" spans="1:14" s="185" customFormat="1" ht="12.75" x14ac:dyDescent="0.2">
      <c r="A45" s="199"/>
      <c r="B45" s="200"/>
      <c r="C45" s="201"/>
      <c r="D45" s="201"/>
      <c r="E45" s="201"/>
      <c r="F45" s="202"/>
      <c r="G45" s="24"/>
      <c r="H45" s="24"/>
      <c r="I45" s="24"/>
      <c r="J45" s="172"/>
      <c r="K45" s="66"/>
      <c r="N45" s="186"/>
    </row>
    <row r="46" spans="1:14" s="185" customFormat="1" ht="12.75" x14ac:dyDescent="0.2">
      <c r="A46" s="203"/>
      <c r="B46" s="204"/>
      <c r="C46" s="204"/>
      <c r="D46" s="204"/>
      <c r="E46" s="204"/>
      <c r="F46" s="202"/>
      <c r="G46" s="24"/>
      <c r="H46" s="24"/>
      <c r="I46" s="24"/>
      <c r="J46" s="73"/>
      <c r="K46" s="66"/>
      <c r="N46" s="186"/>
    </row>
    <row r="47" spans="1:14" s="78" customFormat="1" x14ac:dyDescent="0.2">
      <c r="A47" s="174"/>
      <c r="B47" s="40"/>
      <c r="C47" s="175"/>
      <c r="D47" s="85"/>
      <c r="E47" s="85"/>
      <c r="F47" s="205"/>
      <c r="H47" s="177"/>
      <c r="I47" s="177"/>
      <c r="J47" s="177"/>
      <c r="K47" s="68"/>
      <c r="N47" s="79"/>
    </row>
    <row r="48" spans="1:14" s="78" customFormat="1" x14ac:dyDescent="0.2">
      <c r="A48" s="555"/>
      <c r="B48" s="40"/>
      <c r="C48" s="85"/>
      <c r="D48" s="165"/>
      <c r="E48" s="85"/>
      <c r="F48" s="205"/>
      <c r="H48" s="187"/>
      <c r="I48" s="187"/>
      <c r="J48" s="187"/>
      <c r="K48" s="68"/>
      <c r="N48" s="79"/>
    </row>
    <row r="49" spans="1:14" s="78" customFormat="1" x14ac:dyDescent="0.2">
      <c r="A49" s="555"/>
      <c r="B49" s="40"/>
      <c r="C49" s="85"/>
      <c r="D49" s="85"/>
      <c r="E49" s="85"/>
      <c r="F49" s="205"/>
      <c r="H49" s="188"/>
      <c r="I49" s="175"/>
      <c r="J49" s="41"/>
      <c r="K49" s="55"/>
      <c r="N49" s="79"/>
    </row>
    <row r="50" spans="1:14" s="78" customFormat="1" x14ac:dyDescent="0.2">
      <c r="A50" s="206"/>
      <c r="B50" s="40"/>
      <c r="C50" s="85"/>
      <c r="D50" s="165"/>
      <c r="E50" s="85"/>
      <c r="F50" s="205"/>
      <c r="I50" s="189"/>
      <c r="J50" s="189"/>
      <c r="K50" s="68"/>
      <c r="N50" s="79"/>
    </row>
    <row r="51" spans="1:14" s="78" customFormat="1" x14ac:dyDescent="0.2">
      <c r="A51" s="207"/>
      <c r="B51" s="40"/>
      <c r="C51" s="85"/>
      <c r="D51" s="165"/>
      <c r="E51" s="85"/>
      <c r="F51" s="205"/>
      <c r="I51" s="175"/>
      <c r="J51" s="190"/>
      <c r="K51" s="68"/>
      <c r="N51" s="79"/>
    </row>
    <row r="52" spans="1:14" s="78" customFormat="1" x14ac:dyDescent="0.2">
      <c r="A52" s="208"/>
      <c r="B52" s="40"/>
      <c r="C52" s="85"/>
      <c r="D52" s="165"/>
      <c r="E52" s="85"/>
      <c r="F52" s="205"/>
      <c r="I52" s="175"/>
      <c r="J52" s="190"/>
      <c r="K52" s="68"/>
      <c r="N52" s="79"/>
    </row>
    <row r="53" spans="1:14" s="78" customFormat="1" ht="15" x14ac:dyDescent="0.25">
      <c r="A53" s="198"/>
      <c r="B53" s="40"/>
      <c r="C53" s="178"/>
      <c r="D53" s="178"/>
      <c r="E53" s="178"/>
      <c r="F53" s="194"/>
      <c r="H53" s="177"/>
      <c r="I53" s="175"/>
      <c r="J53" s="190"/>
      <c r="K53" s="68"/>
      <c r="N53" s="79"/>
    </row>
    <row r="54" spans="1:14" s="78" customFormat="1" x14ac:dyDescent="0.2">
      <c r="A54" s="174"/>
      <c r="B54" s="40"/>
      <c r="C54" s="175"/>
      <c r="D54" s="165"/>
      <c r="E54" s="165"/>
      <c r="F54" s="175"/>
      <c r="G54" s="175"/>
      <c r="H54" s="175"/>
      <c r="I54" s="175"/>
      <c r="J54" s="190"/>
      <c r="K54" s="68"/>
      <c r="N54" s="79"/>
    </row>
    <row r="55" spans="1:14" s="78" customFormat="1" x14ac:dyDescent="0.2">
      <c r="A55" s="174"/>
      <c r="B55" s="40"/>
      <c r="C55" s="175"/>
      <c r="D55" s="175"/>
      <c r="E55" s="175"/>
      <c r="F55" s="175"/>
      <c r="G55" s="175"/>
      <c r="H55" s="175"/>
      <c r="I55" s="175"/>
      <c r="J55" s="190"/>
      <c r="K55" s="68"/>
      <c r="N55" s="79"/>
    </row>
    <row r="56" spans="1:14" s="78" customFormat="1" x14ac:dyDescent="0.2">
      <c r="A56" s="174"/>
      <c r="B56" s="40"/>
      <c r="C56" s="175"/>
      <c r="D56" s="175"/>
      <c r="E56" s="175"/>
      <c r="F56" s="175"/>
      <c r="G56" s="175"/>
      <c r="H56" s="175"/>
      <c r="I56" s="175"/>
      <c r="J56" s="190"/>
      <c r="K56" s="68"/>
      <c r="N56" s="79"/>
    </row>
    <row r="57" spans="1:14" s="78" customFormat="1" x14ac:dyDescent="0.2">
      <c r="A57" s="174"/>
      <c r="B57" s="40"/>
      <c r="C57" s="175"/>
      <c r="D57" s="175"/>
      <c r="E57" s="175"/>
      <c r="F57" s="175"/>
      <c r="G57" s="175"/>
      <c r="H57" s="175"/>
      <c r="I57" s="175"/>
      <c r="J57" s="190"/>
      <c r="K57" s="68"/>
      <c r="N57" s="79"/>
    </row>
    <row r="58" spans="1:14" s="78" customFormat="1" x14ac:dyDescent="0.2">
      <c r="A58" s="174"/>
      <c r="B58" s="40"/>
      <c r="C58" s="175"/>
      <c r="D58" s="175"/>
      <c r="E58" s="175"/>
      <c r="F58" s="175"/>
      <c r="G58" s="175"/>
      <c r="H58" s="175"/>
      <c r="I58" s="175"/>
      <c r="J58" s="190"/>
      <c r="K58" s="68"/>
      <c r="N58" s="79"/>
    </row>
    <row r="59" spans="1:14" s="78" customFormat="1" x14ac:dyDescent="0.2">
      <c r="A59" s="174"/>
      <c r="B59" s="40"/>
      <c r="C59" s="175"/>
      <c r="D59" s="175"/>
      <c r="E59" s="175"/>
      <c r="F59" s="175"/>
      <c r="G59" s="175"/>
      <c r="H59" s="175"/>
      <c r="I59" s="175"/>
      <c r="J59" s="190"/>
      <c r="K59" s="68"/>
      <c r="N59" s="79"/>
    </row>
    <row r="60" spans="1:14" s="78" customFormat="1" x14ac:dyDescent="0.2">
      <c r="A60" s="174"/>
      <c r="B60" s="40"/>
      <c r="C60" s="175"/>
      <c r="D60" s="175"/>
      <c r="E60" s="175"/>
      <c r="F60" s="175"/>
      <c r="G60" s="175"/>
      <c r="H60" s="175"/>
      <c r="I60" s="175"/>
      <c r="J60" s="190"/>
      <c r="K60" s="68"/>
      <c r="N60" s="79"/>
    </row>
    <row r="61" spans="1:14" s="78" customFormat="1" x14ac:dyDescent="0.2">
      <c r="A61" s="174"/>
      <c r="B61" s="40"/>
      <c r="C61" s="175"/>
      <c r="D61" s="175"/>
      <c r="E61" s="175"/>
      <c r="F61" s="175"/>
      <c r="G61" s="175"/>
      <c r="H61" s="175"/>
      <c r="I61" s="175"/>
      <c r="J61" s="190"/>
      <c r="K61" s="68"/>
      <c r="N61" s="79"/>
    </row>
    <row r="62" spans="1:14" s="78" customFormat="1" x14ac:dyDescent="0.2">
      <c r="A62" s="174"/>
      <c r="B62" s="40"/>
      <c r="C62" s="175"/>
      <c r="D62" s="175"/>
      <c r="E62" s="175"/>
      <c r="F62" s="175"/>
      <c r="G62" s="175"/>
      <c r="H62" s="175"/>
      <c r="I62" s="175"/>
      <c r="J62" s="190"/>
      <c r="K62" s="68"/>
      <c r="N62" s="79"/>
    </row>
  </sheetData>
  <mergeCells count="3">
    <mergeCell ref="A1:F1"/>
    <mergeCell ref="A29:F30"/>
    <mergeCell ref="A48:A49"/>
  </mergeCells>
  <pageMargins left="0.78740157480314965" right="0.78740157480314965" top="0.78740157480314965" bottom="0.78740157480314965" header="0.51181102362204722" footer="0.51181102362204722"/>
  <pageSetup paperSize="9" scale="85" firstPageNumber="3" orientation="portrait" useFirstPageNumber="1" r:id="rId1"/>
  <headerFooter alignWithMargins="0">
    <oddHeader>&amp;C&amp;"Arial CE,Kurzíva"Příloha č. 2 - Plnění rozpočtu výdajů Olomouckého kraje k 30.09. 2012</oddHeader>
    <oddFooter xml:space="preserve">&amp;L&amp;"Arial,Kurzíva"Rada Olomouckého kraje 23-10-2012
x.x.-Rozpočet Olomouckého kraje 2012-plnění rozpočtu k 30. 09. 2012
Příloha č.2-Plnění rozpočtu výdajů Olomouckého kraje k 30. 09. 2012&amp;R&amp;"Arial,Kurzíva"Strana &amp;P (Celkem 6)
</oddFoot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3:C35"/>
  <sheetViews>
    <sheetView workbookViewId="0">
      <selection activeCell="B4" sqref="B4"/>
    </sheetView>
  </sheetViews>
  <sheetFormatPr defaultRowHeight="12.75" x14ac:dyDescent="0.2"/>
  <cols>
    <col min="1" max="1" width="17.42578125" customWidth="1"/>
    <col min="2" max="2" width="19.42578125" customWidth="1"/>
    <col min="3" max="3" width="19.85546875" customWidth="1"/>
  </cols>
  <sheetData>
    <row r="3" spans="1:3" x14ac:dyDescent="0.2">
      <c r="A3" s="99"/>
      <c r="B3" s="99" t="s">
        <v>35</v>
      </c>
      <c r="C3" s="99" t="s">
        <v>36</v>
      </c>
    </row>
    <row r="4" spans="1:3" x14ac:dyDescent="0.2">
      <c r="A4" s="99" t="s">
        <v>11</v>
      </c>
      <c r="B4" s="99">
        <f>'Rekapitulace OK - příloha č. 2'!E7</f>
        <v>23512338</v>
      </c>
      <c r="C4" s="99">
        <f>'Rekapitulace OK - příloha č. 2'!E8</f>
        <v>25188381</v>
      </c>
    </row>
    <row r="5" spans="1:3" x14ac:dyDescent="0.2">
      <c r="A5" s="99" t="s">
        <v>12</v>
      </c>
      <c r="B5" s="99">
        <f>'Rekapitulace OK - příloha č. 2'!F7</f>
        <v>23849137</v>
      </c>
      <c r="C5" s="99">
        <f>'Rekapitulace OK - příloha č. 2'!F8</f>
        <v>26168465</v>
      </c>
    </row>
    <row r="6" spans="1:3" x14ac:dyDescent="0.2">
      <c r="A6" s="99" t="s">
        <v>4</v>
      </c>
      <c r="B6" s="99">
        <f>'Rekapitulace OK - příloha č. 2'!G7</f>
        <v>8252830</v>
      </c>
      <c r="C6" s="99">
        <f>'Rekapitulace OK - příloha č. 2'!G8</f>
        <v>6118193</v>
      </c>
    </row>
    <row r="32" spans="1:3" x14ac:dyDescent="0.2">
      <c r="A32" s="99"/>
      <c r="B32" s="99" t="s">
        <v>41</v>
      </c>
      <c r="C32" s="99" t="s">
        <v>42</v>
      </c>
    </row>
    <row r="33" spans="1:3" x14ac:dyDescent="0.2">
      <c r="A33" s="99" t="s">
        <v>11</v>
      </c>
      <c r="B33" s="99" t="e">
        <f>'Příjmy OK - příloha č. 2'!#REF!</f>
        <v>#REF!</v>
      </c>
      <c r="C33" s="99" t="e">
        <f>'Výdaje OK - příloha č. 2'!#REF!</f>
        <v>#REF!</v>
      </c>
    </row>
    <row r="34" spans="1:3" x14ac:dyDescent="0.2">
      <c r="A34" s="99" t="s">
        <v>12</v>
      </c>
      <c r="B34" s="99" t="e">
        <f>'Příjmy OK - příloha č. 2'!#REF!</f>
        <v>#REF!</v>
      </c>
      <c r="C34" s="99" t="e">
        <f>'Výdaje OK - příloha č. 2'!#REF!</f>
        <v>#REF!</v>
      </c>
    </row>
    <row r="35" spans="1:3" x14ac:dyDescent="0.2">
      <c r="A35" s="99" t="s">
        <v>4</v>
      </c>
      <c r="B35" s="99" t="e">
        <f>'Příjmy OK - příloha č. 2'!#REF!</f>
        <v>#REF!</v>
      </c>
      <c r="C35" s="99" t="e">
        <f>'Výdaje OK - příloha č. 2'!#REF!</f>
        <v>#REF!</v>
      </c>
    </row>
  </sheetData>
  <phoneticPr fontId="5" type="noConversion"/>
  <pageMargins left="0.78740157499999996" right="0.78740157499999996" top="0.984251969" bottom="0.984251969" header="0.4921259845" footer="0.492125984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G50"/>
  <sheetViews>
    <sheetView workbookViewId="0">
      <selection activeCell="A39" sqref="A39"/>
    </sheetView>
  </sheetViews>
  <sheetFormatPr defaultRowHeight="12.75" x14ac:dyDescent="0.2"/>
  <cols>
    <col min="3" max="3" width="19.7109375" customWidth="1"/>
    <col min="4" max="4" width="12.7109375" bestFit="1" customWidth="1"/>
    <col min="5" max="5" width="14.85546875" bestFit="1" customWidth="1"/>
    <col min="6" max="6" width="12.7109375" bestFit="1" customWidth="1"/>
    <col min="7" max="7" width="13.85546875" bestFit="1" customWidth="1"/>
  </cols>
  <sheetData>
    <row r="2" spans="1:6" x14ac:dyDescent="0.2">
      <c r="C2" s="133">
        <v>8115</v>
      </c>
    </row>
    <row r="3" spans="1:6" x14ac:dyDescent="0.2">
      <c r="C3" s="130">
        <f>D3+D4+D5</f>
        <v>161414000</v>
      </c>
      <c r="D3" s="127">
        <v>41142000</v>
      </c>
      <c r="E3" t="s">
        <v>56</v>
      </c>
      <c r="F3" t="s">
        <v>60</v>
      </c>
    </row>
    <row r="4" spans="1:6" x14ac:dyDescent="0.2">
      <c r="C4" s="127"/>
      <c r="D4" s="127">
        <v>97035000</v>
      </c>
      <c r="E4" t="s">
        <v>57</v>
      </c>
      <c r="F4" t="s">
        <v>60</v>
      </c>
    </row>
    <row r="5" spans="1:6" x14ac:dyDescent="0.2">
      <c r="C5" s="127"/>
      <c r="D5" s="127">
        <v>23237000</v>
      </c>
      <c r="E5" t="s">
        <v>58</v>
      </c>
      <c r="F5" t="s">
        <v>60</v>
      </c>
    </row>
    <row r="6" spans="1:6" x14ac:dyDescent="0.2">
      <c r="C6" s="127"/>
    </row>
    <row r="8" spans="1:6" x14ac:dyDescent="0.2">
      <c r="A8" s="131" t="s">
        <v>45</v>
      </c>
      <c r="B8" s="131" t="s">
        <v>10</v>
      </c>
      <c r="C8" s="132">
        <v>8115</v>
      </c>
      <c r="D8" s="131" t="s">
        <v>46</v>
      </c>
      <c r="E8" s="131" t="s">
        <v>47</v>
      </c>
    </row>
    <row r="9" spans="1:6" x14ac:dyDescent="0.2">
      <c r="A9" s="128" t="s">
        <v>59</v>
      </c>
      <c r="B9">
        <v>11</v>
      </c>
      <c r="C9" s="135">
        <v>139046.97</v>
      </c>
      <c r="E9">
        <v>71000100686</v>
      </c>
    </row>
    <row r="10" spans="1:6" x14ac:dyDescent="0.2">
      <c r="A10" s="128" t="s">
        <v>48</v>
      </c>
      <c r="B10">
        <v>58</v>
      </c>
      <c r="C10" s="135">
        <v>22919266.140000001</v>
      </c>
      <c r="E10">
        <v>71000000000</v>
      </c>
    </row>
    <row r="11" spans="1:6" x14ac:dyDescent="0.2">
      <c r="A11" s="128" t="s">
        <v>49</v>
      </c>
      <c r="B11">
        <v>63</v>
      </c>
      <c r="C11" s="135">
        <v>28596708.789999999</v>
      </c>
      <c r="E11">
        <v>71000000000</v>
      </c>
    </row>
    <row r="12" spans="1:6" x14ac:dyDescent="0.2">
      <c r="A12" s="128" t="s">
        <v>50</v>
      </c>
      <c r="B12">
        <v>68</v>
      </c>
      <c r="C12" s="135">
        <v>19248386.399999999</v>
      </c>
      <c r="E12">
        <v>71000000000</v>
      </c>
    </row>
    <row r="13" spans="1:6" x14ac:dyDescent="0.2">
      <c r="A13" s="128" t="s">
        <v>51</v>
      </c>
      <c r="B13">
        <v>53</v>
      </c>
      <c r="C13" s="135">
        <v>2849258.72</v>
      </c>
      <c r="E13">
        <v>71000000000</v>
      </c>
    </row>
    <row r="14" spans="1:6" x14ac:dyDescent="0.2">
      <c r="A14" s="128" t="s">
        <v>51</v>
      </c>
      <c r="B14">
        <v>54</v>
      </c>
      <c r="C14" s="135">
        <v>171141.26</v>
      </c>
      <c r="E14">
        <v>71000000000</v>
      </c>
    </row>
    <row r="15" spans="1:6" x14ac:dyDescent="0.2">
      <c r="A15" s="128" t="s">
        <v>51</v>
      </c>
      <c r="B15">
        <v>55</v>
      </c>
      <c r="C15" s="135">
        <v>85448.15</v>
      </c>
      <c r="E15">
        <v>71000000000</v>
      </c>
    </row>
    <row r="16" spans="1:6" x14ac:dyDescent="0.2">
      <c r="A16" s="128" t="s">
        <v>52</v>
      </c>
      <c r="B16">
        <v>56</v>
      </c>
      <c r="C16" s="135">
        <v>46667546.780000001</v>
      </c>
      <c r="E16">
        <v>71000000000</v>
      </c>
    </row>
    <row r="17" spans="1:7" x14ac:dyDescent="0.2">
      <c r="A17" s="128" t="s">
        <v>52</v>
      </c>
      <c r="B17">
        <v>57</v>
      </c>
      <c r="C17" s="135">
        <v>14942427.93</v>
      </c>
      <c r="E17">
        <v>71000000000</v>
      </c>
    </row>
    <row r="18" spans="1:7" x14ac:dyDescent="0.2">
      <c r="A18" s="128" t="s">
        <v>53</v>
      </c>
      <c r="B18">
        <v>60</v>
      </c>
      <c r="C18" s="135">
        <v>48299146.789999999</v>
      </c>
      <c r="E18">
        <v>71000000000</v>
      </c>
    </row>
    <row r="19" spans="1:7" x14ac:dyDescent="0.2">
      <c r="A19" s="128" t="s">
        <v>54</v>
      </c>
      <c r="B19">
        <v>64</v>
      </c>
      <c r="C19" s="135">
        <v>170000</v>
      </c>
      <c r="E19">
        <v>71000100493</v>
      </c>
    </row>
    <row r="20" spans="1:7" x14ac:dyDescent="0.2">
      <c r="A20" s="128" t="s">
        <v>55</v>
      </c>
      <c r="B20">
        <v>66</v>
      </c>
      <c r="C20" s="135">
        <v>42362429.25</v>
      </c>
      <c r="E20">
        <v>71000000000</v>
      </c>
    </row>
    <row r="21" spans="1:7" x14ac:dyDescent="0.2">
      <c r="A21" s="128" t="s">
        <v>55</v>
      </c>
      <c r="B21">
        <v>67</v>
      </c>
      <c r="C21" s="135">
        <v>15396049.710000001</v>
      </c>
      <c r="E21">
        <v>71000000000</v>
      </c>
    </row>
    <row r="22" spans="1:7" x14ac:dyDescent="0.2">
      <c r="A22" s="128" t="s">
        <v>61</v>
      </c>
      <c r="B22">
        <v>7</v>
      </c>
      <c r="C22" s="136">
        <v>223975684.03</v>
      </c>
      <c r="D22">
        <v>813</v>
      </c>
      <c r="E22">
        <v>71000000000</v>
      </c>
    </row>
    <row r="23" spans="1:7" x14ac:dyDescent="0.2">
      <c r="A23" s="128" t="s">
        <v>61</v>
      </c>
      <c r="B23">
        <v>7</v>
      </c>
      <c r="C23" s="135">
        <v>24976497.02</v>
      </c>
      <c r="D23">
        <v>887</v>
      </c>
      <c r="E23">
        <v>71000000000</v>
      </c>
      <c r="F23" s="134"/>
    </row>
    <row r="24" spans="1:7" x14ac:dyDescent="0.2">
      <c r="A24" s="128" t="s">
        <v>62</v>
      </c>
      <c r="B24">
        <v>64</v>
      </c>
      <c r="C24" s="135">
        <v>31424.83</v>
      </c>
      <c r="E24">
        <v>71000100070</v>
      </c>
      <c r="F24" s="134"/>
    </row>
    <row r="25" spans="1:7" x14ac:dyDescent="0.2">
      <c r="A25" s="128" t="s">
        <v>63</v>
      </c>
      <c r="B25">
        <v>71</v>
      </c>
      <c r="C25" s="135">
        <v>11000</v>
      </c>
      <c r="E25">
        <v>71000000000</v>
      </c>
      <c r="F25" s="134"/>
    </row>
    <row r="26" spans="1:7" x14ac:dyDescent="0.2">
      <c r="A26" s="128" t="s">
        <v>64</v>
      </c>
      <c r="B26">
        <v>7</v>
      </c>
      <c r="C26" s="135">
        <v>174168.18</v>
      </c>
      <c r="D26">
        <v>19</v>
      </c>
      <c r="E26">
        <v>73003000000</v>
      </c>
      <c r="F26" s="134"/>
    </row>
    <row r="27" spans="1:7" x14ac:dyDescent="0.2">
      <c r="A27" s="128" t="s">
        <v>66</v>
      </c>
      <c r="B27">
        <v>64</v>
      </c>
      <c r="C27" s="135">
        <v>1793591.61</v>
      </c>
      <c r="E27">
        <v>71000100493</v>
      </c>
      <c r="F27" s="134"/>
    </row>
    <row r="28" spans="1:7" x14ac:dyDescent="0.2">
      <c r="A28" s="128" t="s">
        <v>67</v>
      </c>
      <c r="B28">
        <v>64</v>
      </c>
      <c r="C28" s="135">
        <v>1433086.82</v>
      </c>
      <c r="E28">
        <v>71000100580</v>
      </c>
      <c r="F28" s="134"/>
    </row>
    <row r="29" spans="1:7" x14ac:dyDescent="0.2">
      <c r="A29" s="128" t="s">
        <v>68</v>
      </c>
      <c r="B29">
        <v>7</v>
      </c>
      <c r="C29" s="135">
        <v>8028426</v>
      </c>
      <c r="E29">
        <v>71000000000</v>
      </c>
      <c r="F29" s="134"/>
    </row>
    <row r="30" spans="1:7" x14ac:dyDescent="0.2">
      <c r="A30" s="128" t="s">
        <v>65</v>
      </c>
      <c r="B30">
        <v>7</v>
      </c>
      <c r="C30" s="135">
        <v>8511507.6600000001</v>
      </c>
      <c r="E30">
        <v>71000000000</v>
      </c>
      <c r="F30" s="135" t="s">
        <v>71</v>
      </c>
      <c r="G30" s="127">
        <f>SUM(C9:C30)</f>
        <v>510782243.04000002</v>
      </c>
    </row>
    <row r="31" spans="1:7" x14ac:dyDescent="0.2">
      <c r="A31" s="128" t="s">
        <v>69</v>
      </c>
      <c r="B31">
        <v>7</v>
      </c>
      <c r="C31" s="135">
        <v>62860</v>
      </c>
      <c r="D31">
        <v>19</v>
      </c>
      <c r="E31">
        <v>73001000000</v>
      </c>
      <c r="F31" s="127"/>
      <c r="G31" s="127"/>
    </row>
    <row r="32" spans="1:7" x14ac:dyDescent="0.2">
      <c r="A32" s="129" t="s">
        <v>70</v>
      </c>
      <c r="B32">
        <v>10</v>
      </c>
      <c r="C32" s="135">
        <v>11618</v>
      </c>
      <c r="D32">
        <v>19</v>
      </c>
      <c r="E32">
        <v>71000000000</v>
      </c>
      <c r="F32" s="130"/>
      <c r="G32" s="127"/>
    </row>
    <row r="33" spans="1:7" x14ac:dyDescent="0.2">
      <c r="A33" s="129" t="s">
        <v>70</v>
      </c>
      <c r="B33">
        <v>10</v>
      </c>
      <c r="C33" s="135">
        <v>14430.49</v>
      </c>
      <c r="D33">
        <v>19</v>
      </c>
      <c r="E33">
        <v>71000000000</v>
      </c>
      <c r="F33" s="127" t="s">
        <v>72</v>
      </c>
      <c r="G33" s="127">
        <f>SUM(C31:C33)</f>
        <v>88908.49</v>
      </c>
    </row>
    <row r="34" spans="1:7" x14ac:dyDescent="0.2">
      <c r="A34" s="129" t="s">
        <v>78</v>
      </c>
      <c r="B34">
        <v>7</v>
      </c>
      <c r="C34" s="135">
        <v>1716423.13</v>
      </c>
      <c r="D34">
        <v>19</v>
      </c>
      <c r="E34">
        <v>73000000000</v>
      </c>
      <c r="F34" s="127" t="s">
        <v>75</v>
      </c>
      <c r="G34" s="127">
        <f>C34</f>
        <v>1716423.13</v>
      </c>
    </row>
    <row r="35" spans="1:7" x14ac:dyDescent="0.2">
      <c r="A35" s="129" t="s">
        <v>79</v>
      </c>
      <c r="B35">
        <v>99</v>
      </c>
      <c r="C35" s="135">
        <v>25196737.460000001</v>
      </c>
      <c r="E35">
        <v>71000000000</v>
      </c>
      <c r="F35" s="127"/>
      <c r="G35" s="127"/>
    </row>
    <row r="36" spans="1:7" x14ac:dyDescent="0.2">
      <c r="A36" s="129" t="s">
        <v>80</v>
      </c>
      <c r="B36">
        <v>7</v>
      </c>
      <c r="C36" s="135">
        <v>168935624.75</v>
      </c>
      <c r="D36">
        <v>24</v>
      </c>
      <c r="E36">
        <v>71000000000</v>
      </c>
      <c r="F36" s="127"/>
      <c r="G36" s="127"/>
    </row>
    <row r="37" spans="1:7" x14ac:dyDescent="0.2">
      <c r="A37" s="129" t="s">
        <v>80</v>
      </c>
      <c r="B37">
        <v>7</v>
      </c>
      <c r="C37" s="135">
        <v>19089.3</v>
      </c>
      <c r="D37">
        <v>25</v>
      </c>
      <c r="E37">
        <v>71000000000</v>
      </c>
      <c r="F37" s="127" t="s">
        <v>76</v>
      </c>
      <c r="G37" s="127">
        <f>C35+C36+C37</f>
        <v>194151451.51000002</v>
      </c>
    </row>
    <row r="38" spans="1:7" x14ac:dyDescent="0.2">
      <c r="A38" s="129" t="s">
        <v>81</v>
      </c>
      <c r="B38">
        <v>199</v>
      </c>
      <c r="C38" s="135">
        <v>771707.14</v>
      </c>
      <c r="E38">
        <v>71000000000</v>
      </c>
      <c r="F38" s="127" t="s">
        <v>77</v>
      </c>
      <c r="G38" s="127">
        <f>C38</f>
        <v>771707.14</v>
      </c>
    </row>
    <row r="39" spans="1:7" x14ac:dyDescent="0.2">
      <c r="A39" s="129"/>
      <c r="C39" s="135"/>
      <c r="F39" s="127"/>
      <c r="G39" s="127"/>
    </row>
    <row r="40" spans="1:7" x14ac:dyDescent="0.2">
      <c r="A40" s="129"/>
      <c r="C40" s="135"/>
      <c r="F40" s="127"/>
      <c r="G40" s="127"/>
    </row>
    <row r="41" spans="1:7" x14ac:dyDescent="0.2">
      <c r="A41" s="129"/>
      <c r="C41" s="135"/>
      <c r="F41" s="127"/>
      <c r="G41" s="127"/>
    </row>
    <row r="42" spans="1:7" x14ac:dyDescent="0.2">
      <c r="A42" s="129"/>
      <c r="C42" s="135"/>
      <c r="F42" s="127"/>
      <c r="G42" s="127"/>
    </row>
    <row r="43" spans="1:7" x14ac:dyDescent="0.2">
      <c r="A43" s="129"/>
      <c r="C43" s="135"/>
      <c r="F43" s="127"/>
      <c r="G43" s="127"/>
    </row>
    <row r="44" spans="1:7" x14ac:dyDescent="0.2">
      <c r="A44" s="129"/>
      <c r="C44" s="135">
        <f>G30+G33+G34+G37+G38</f>
        <v>707510733.31000006</v>
      </c>
      <c r="F44" s="127"/>
      <c r="G44" s="127"/>
    </row>
    <row r="45" spans="1:7" x14ac:dyDescent="0.2">
      <c r="A45" s="129"/>
      <c r="C45" s="135"/>
      <c r="F45" s="127"/>
      <c r="G45" s="127"/>
    </row>
    <row r="46" spans="1:7" x14ac:dyDescent="0.2">
      <c r="A46" s="129"/>
      <c r="C46" s="127"/>
      <c r="F46" s="127"/>
      <c r="G46" s="127"/>
    </row>
    <row r="47" spans="1:7" x14ac:dyDescent="0.2">
      <c r="A47" s="129"/>
      <c r="C47" s="127"/>
      <c r="F47" s="127"/>
      <c r="G47" s="127"/>
    </row>
    <row r="48" spans="1:7" x14ac:dyDescent="0.2">
      <c r="A48" s="126"/>
      <c r="C48" s="130">
        <f>C3+C44</f>
        <v>868924733.31000006</v>
      </c>
      <c r="G48" s="127"/>
    </row>
    <row r="49" spans="3:7" x14ac:dyDescent="0.2">
      <c r="C49" s="127"/>
      <c r="G49" s="127"/>
    </row>
    <row r="50" spans="3:7" x14ac:dyDescent="0.2">
      <c r="G50" s="127"/>
    </row>
  </sheetData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11"/>
  </sheetPr>
  <dimension ref="A1:U44"/>
  <sheetViews>
    <sheetView showGridLines="0" view="pageLayout" zoomScaleNormal="100" workbookViewId="0">
      <selection activeCell="D4" sqref="D4"/>
    </sheetView>
  </sheetViews>
  <sheetFormatPr defaultRowHeight="12.75" x14ac:dyDescent="0.2"/>
  <cols>
    <col min="4" max="4" width="31.42578125" customWidth="1"/>
    <col min="5" max="5" width="15.28515625" customWidth="1"/>
    <col min="6" max="6" width="15.140625" customWidth="1"/>
    <col min="7" max="7" width="15" customWidth="1"/>
    <col min="8" max="8" width="6.28515625" customWidth="1"/>
  </cols>
  <sheetData>
    <row r="1" spans="1:21" ht="20.25" x14ac:dyDescent="0.3">
      <c r="A1" s="87" t="s">
        <v>82</v>
      </c>
      <c r="B1" s="88"/>
      <c r="C1" s="88"/>
      <c r="D1" s="88"/>
      <c r="E1" s="89"/>
      <c r="F1" s="89"/>
      <c r="G1" s="89"/>
      <c r="H1" s="89"/>
    </row>
    <row r="2" spans="1:21" s="90" customFormat="1" ht="15.75" x14ac:dyDescent="0.25">
      <c r="A2" s="91"/>
      <c r="B2" s="88"/>
      <c r="C2" s="88"/>
      <c r="D2" s="88"/>
      <c r="E2" s="89"/>
      <c r="F2" s="89"/>
      <c r="G2" s="89"/>
      <c r="H2" s="89"/>
    </row>
    <row r="3" spans="1:21" s="90" customFormat="1" ht="14.25" customHeight="1" x14ac:dyDescent="0.25">
      <c r="A3" s="92" t="s">
        <v>31</v>
      </c>
      <c r="B3" s="88"/>
      <c r="C3" s="88"/>
      <c r="D3" s="88"/>
      <c r="E3" s="89"/>
      <c r="F3" s="89"/>
      <c r="G3" s="89"/>
      <c r="H3" s="4"/>
    </row>
    <row r="4" spans="1:21" s="90" customFormat="1" ht="14.25" customHeight="1" thickBot="1" x14ac:dyDescent="0.3">
      <c r="A4" s="92"/>
      <c r="B4" s="88"/>
      <c r="C4" s="88"/>
      <c r="D4" s="88"/>
      <c r="E4" s="89"/>
      <c r="F4" s="89"/>
      <c r="G4" s="89"/>
      <c r="H4" s="162" t="s">
        <v>73</v>
      </c>
    </row>
    <row r="5" spans="1:21" s="90" customFormat="1" ht="14.25" customHeight="1" thickTop="1" thickBot="1" x14ac:dyDescent="0.25">
      <c r="A5" s="159"/>
      <c r="B5" s="160"/>
      <c r="C5" s="160"/>
      <c r="D5" s="161"/>
      <c r="E5" s="3" t="s">
        <v>2</v>
      </c>
      <c r="F5" s="3" t="s">
        <v>3</v>
      </c>
      <c r="G5" s="3" t="s">
        <v>4</v>
      </c>
      <c r="H5" s="5" t="s">
        <v>5</v>
      </c>
    </row>
    <row r="6" spans="1:21" s="90" customFormat="1" ht="14.25" customHeight="1" thickTop="1" thickBot="1" x14ac:dyDescent="0.25">
      <c r="A6" s="556">
        <v>1</v>
      </c>
      <c r="B6" s="557"/>
      <c r="C6" s="557"/>
      <c r="D6" s="558"/>
      <c r="E6" s="148">
        <v>2</v>
      </c>
      <c r="F6" s="148">
        <v>3</v>
      </c>
      <c r="G6" s="148">
        <v>4</v>
      </c>
      <c r="H6" s="149" t="s">
        <v>6</v>
      </c>
    </row>
    <row r="7" spans="1:21" s="93" customFormat="1" ht="16.5" thickTop="1" x14ac:dyDescent="0.25">
      <c r="A7" s="111" t="s">
        <v>32</v>
      </c>
      <c r="B7" s="112"/>
      <c r="C7" s="112"/>
      <c r="D7" s="137"/>
      <c r="E7" s="141" t="e">
        <f>'Příjmy OK - příloha č. 2'!#REF!</f>
        <v>#REF!</v>
      </c>
      <c r="F7" s="141" t="e">
        <f>'Příjmy OK - příloha č. 2'!#REF!</f>
        <v>#REF!</v>
      </c>
      <c r="G7" s="141" t="e">
        <f>'Příjmy OK - příloha č. 2'!#REF!</f>
        <v>#REF!</v>
      </c>
      <c r="H7" s="113" t="e">
        <f>(G7/F7)*100</f>
        <v>#REF!</v>
      </c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</row>
    <row r="8" spans="1:21" s="93" customFormat="1" ht="15" x14ac:dyDescent="0.2">
      <c r="A8" s="114" t="s">
        <v>83</v>
      </c>
      <c r="B8" s="115"/>
      <c r="C8" s="115"/>
      <c r="D8" s="138"/>
      <c r="E8" s="142"/>
      <c r="F8" s="142"/>
      <c r="G8" s="146"/>
      <c r="H8" s="116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  <c r="U8" s="90"/>
    </row>
    <row r="9" spans="1:21" s="93" customFormat="1" ht="15.75" x14ac:dyDescent="0.25">
      <c r="A9" s="117" t="s">
        <v>33</v>
      </c>
      <c r="B9" s="118"/>
      <c r="C9" s="118"/>
      <c r="D9" s="139"/>
      <c r="E9" s="143" t="e">
        <f>'Výdaje OK - příloha č. 2'!#REF!+'Výdaje OK - příloha č. 2'!#REF!</f>
        <v>#REF!</v>
      </c>
      <c r="F9" s="143" t="e">
        <f>'Výdaje OK - příloha č. 2'!#REF!+'Výdaje OK - příloha č. 2'!#REF!</f>
        <v>#REF!</v>
      </c>
      <c r="G9" s="143" t="e">
        <f>'Výdaje OK - příloha č. 2'!#REF!+'Výdaje OK - příloha č. 2'!#REF!</f>
        <v>#REF!</v>
      </c>
      <c r="H9" s="119" t="e">
        <f>(G9/F9)*100</f>
        <v>#REF!</v>
      </c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</row>
    <row r="10" spans="1:21" s="93" customFormat="1" ht="15" x14ac:dyDescent="0.2">
      <c r="A10" s="218" t="s">
        <v>84</v>
      </c>
      <c r="B10" s="118"/>
      <c r="C10" s="118"/>
      <c r="D10" s="140"/>
      <c r="E10" s="144"/>
      <c r="F10" s="145"/>
      <c r="G10" s="147"/>
      <c r="H10" s="12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</row>
    <row r="11" spans="1:21" s="93" customFormat="1" ht="21.75" customHeight="1" thickBot="1" x14ac:dyDescent="0.3">
      <c r="A11" s="94" t="s">
        <v>34</v>
      </c>
      <c r="B11" s="95"/>
      <c r="C11" s="95"/>
      <c r="D11" s="95"/>
      <c r="E11" s="96"/>
      <c r="F11" s="97"/>
      <c r="G11" s="150" t="e">
        <f>G7-G9</f>
        <v>#REF!</v>
      </c>
      <c r="H11" s="98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</row>
    <row r="12" spans="1:21" ht="13.5" thickTop="1" x14ac:dyDescent="0.2"/>
    <row r="37" spans="1:8" ht="15" x14ac:dyDescent="0.25">
      <c r="A37" s="100" t="s">
        <v>37</v>
      </c>
      <c r="B37" s="90"/>
      <c r="C37" s="90"/>
      <c r="D37" s="90"/>
      <c r="E37" s="101"/>
      <c r="F37" s="89"/>
      <c r="G37" s="89"/>
      <c r="H37" s="4"/>
    </row>
    <row r="38" spans="1:8" ht="15.75" thickBot="1" x14ac:dyDescent="0.3">
      <c r="A38" s="100"/>
      <c r="B38" s="90"/>
      <c r="C38" s="90"/>
      <c r="D38" s="90"/>
      <c r="E38" s="101"/>
      <c r="F38" s="89"/>
      <c r="G38" s="89"/>
      <c r="H38" s="162" t="s">
        <v>73</v>
      </c>
    </row>
    <row r="39" spans="1:8" s="90" customFormat="1" ht="14.25" customHeight="1" thickTop="1" thickBot="1" x14ac:dyDescent="0.25">
      <c r="A39" s="159"/>
      <c r="B39" s="160"/>
      <c r="C39" s="160"/>
      <c r="D39" s="161"/>
      <c r="E39" s="3" t="s">
        <v>2</v>
      </c>
      <c r="F39" s="3" t="s">
        <v>3</v>
      </c>
      <c r="G39" s="3" t="s">
        <v>4</v>
      </c>
      <c r="H39" s="5" t="s">
        <v>5</v>
      </c>
    </row>
    <row r="40" spans="1:8" s="90" customFormat="1" ht="14.25" customHeight="1" thickTop="1" thickBot="1" x14ac:dyDescent="0.25">
      <c r="A40" s="556">
        <v>1</v>
      </c>
      <c r="B40" s="557"/>
      <c r="C40" s="557"/>
      <c r="D40" s="558"/>
      <c r="E40" s="148">
        <v>2</v>
      </c>
      <c r="F40" s="148">
        <v>3</v>
      </c>
      <c r="G40" s="148">
        <v>4</v>
      </c>
      <c r="H40" s="149" t="s">
        <v>6</v>
      </c>
    </row>
    <row r="41" spans="1:8" ht="20.25" thickTop="1" x14ac:dyDescent="0.4">
      <c r="A41" s="102" t="s">
        <v>38</v>
      </c>
      <c r="B41" s="103"/>
      <c r="C41" s="103"/>
      <c r="D41" s="104"/>
      <c r="E41" s="151" t="e">
        <f>'Příjmy OK - příloha č. 2'!#REF!</f>
        <v>#REF!</v>
      </c>
      <c r="F41" s="151" t="e">
        <f>'Příjmy OK - příloha č. 2'!#REF!</f>
        <v>#REF!</v>
      </c>
      <c r="G41" s="151" t="e">
        <f>'Příjmy OK - příloha č. 2'!#REF!</f>
        <v>#REF!</v>
      </c>
      <c r="H41" s="154" t="e">
        <f>(G41/F41)*100</f>
        <v>#REF!</v>
      </c>
    </row>
    <row r="42" spans="1:8" ht="19.5" x14ac:dyDescent="0.4">
      <c r="A42" s="105" t="s">
        <v>39</v>
      </c>
      <c r="B42" s="106"/>
      <c r="C42" s="106"/>
      <c r="D42" s="107"/>
      <c r="E42" s="152" t="e">
        <f>'Výdaje OK - příloha č. 2'!#REF!</f>
        <v>#REF!</v>
      </c>
      <c r="F42" s="152" t="e">
        <f>'Výdaje OK - příloha č. 2'!#REF!</f>
        <v>#REF!</v>
      </c>
      <c r="G42" s="152" t="e">
        <f>'Výdaje OK - příloha č. 2'!#REF!</f>
        <v>#REF!</v>
      </c>
      <c r="H42" s="153" t="e">
        <f>(G42/F42)*100</f>
        <v>#REF!</v>
      </c>
    </row>
    <row r="43" spans="1:8" ht="25.5" customHeight="1" thickBot="1" x14ac:dyDescent="0.45">
      <c r="A43" s="170" t="s">
        <v>40</v>
      </c>
      <c r="B43" s="94"/>
      <c r="C43" s="94"/>
      <c r="D43" s="94"/>
      <c r="E43" s="94"/>
      <c r="F43" s="168"/>
      <c r="G43" s="169" t="e">
        <f>G41-G42</f>
        <v>#REF!</v>
      </c>
      <c r="H43" s="98"/>
    </row>
    <row r="44" spans="1:8" ht="13.5" thickTop="1" x14ac:dyDescent="0.2"/>
  </sheetData>
  <mergeCells count="2">
    <mergeCell ref="A6:D6"/>
    <mergeCell ref="A40:D40"/>
  </mergeCells>
  <pageMargins left="0.78740157480314965" right="0.59055118110236227" top="0.78740157480314965" bottom="0.78740157480314965" header="0.51181102362204722" footer="0.51181102362204722"/>
  <pageSetup paperSize="9" scale="80" firstPageNumber="6" orientation="portrait" useFirstPageNumber="1" r:id="rId1"/>
  <headerFooter alignWithMargins="0">
    <oddHeader>&amp;C&amp;"Arial CE,Kurzíva"Příloha č. 2 - Plnění rozpočtu výdajů Olomouckého kraje k 31. 3. 2013</oddHeader>
    <oddFooter xml:space="preserve">&amp;L&amp;"Arial CE,Kurzíva"Rada Olomouckého kraje 18-04-2013
x.x.-Rozpočet Olomouckého kraje 2013-plnění rozpočtu k 31. 3. 2013
Příloha č.2-Plnění rozpočtu výdajů Olomouckého kraje k 31. 3. 2013&amp;R&amp;"Arial CE,Kurzíva"Strana &amp;P (Celkem 6)
</oddFooter>
  </headerFooter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2.7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7</vt:i4>
      </vt:variant>
    </vt:vector>
  </HeadingPairs>
  <TitlesOfParts>
    <vt:vector size="17" baseType="lpstr">
      <vt:lpstr>Bilance OK - příloha č.1</vt:lpstr>
      <vt:lpstr>Příjmy OK - příloha č. 2</vt:lpstr>
      <vt:lpstr>Výdaje OK - příloha č. 2</vt:lpstr>
      <vt:lpstr>Financování OK - příloha č. 2</vt:lpstr>
      <vt:lpstr>Rekapitulace OK - příloha č. 2</vt:lpstr>
      <vt:lpstr>Výdaje (2)</vt:lpstr>
      <vt:lpstr>List2</vt:lpstr>
      <vt:lpstr>8115-zap.zůst.k 31.12.2011</vt:lpstr>
      <vt:lpstr>Rekapitulace (2)</vt:lpstr>
      <vt:lpstr>List4</vt:lpstr>
      <vt:lpstr>'Bilance OK - příloha č.1'!Oblast_tisku</vt:lpstr>
      <vt:lpstr>'Financování OK - příloha č. 2'!Oblast_tisku</vt:lpstr>
      <vt:lpstr>'Příjmy OK - příloha č. 2'!Oblast_tisku</vt:lpstr>
      <vt:lpstr>'Rekapitulace (2)'!Oblast_tisku</vt:lpstr>
      <vt:lpstr>'Rekapitulace OK - příloha č. 2'!Oblast_tisku</vt:lpstr>
      <vt:lpstr>'Výdaje (2)'!Oblast_tisku</vt:lpstr>
      <vt:lpstr>'Výdaje OK - příloha č. 2'!Oblast_tisku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Alice Hradilová</dc:creator>
  <cp:lastModifiedBy>Foret Oldřich</cp:lastModifiedBy>
  <cp:lastPrinted>2025-04-10T05:06:20Z</cp:lastPrinted>
  <dcterms:created xsi:type="dcterms:W3CDTF">2010-11-26T09:05:32Z</dcterms:created>
  <dcterms:modified xsi:type="dcterms:W3CDTF">2025-04-17T08:38:39Z</dcterms:modified>
</cp:coreProperties>
</file>