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Úvěrový rámec\KB\REVOLVINGOVÝ ÚVĚR 600 mil. Kč\33. čerpání\ZOK\"/>
    </mc:Choice>
  </mc:AlternateContent>
  <bookViews>
    <workbookView xWindow="-1005" yWindow="1815" windowWidth="15570" windowHeight="9975"/>
  </bookViews>
  <sheets>
    <sheet name="Přehled úvěru" sheetId="6" r:id="rId1"/>
    <sheet name="Dotace - aktualizace" sheetId="9" state="hidden" r:id="rId2"/>
  </sheets>
  <definedNames>
    <definedName name="_xlnm.Print_Titles" localSheetId="0">'Přehled úvěru'!$2:$3</definedName>
    <definedName name="_xlnm.Print_Area" localSheetId="0">'Přehled úvěru'!$B$1:$AP$71</definedName>
  </definedNames>
  <calcPr calcId="162913"/>
</workbook>
</file>

<file path=xl/calcChain.xml><?xml version="1.0" encoding="utf-8"?>
<calcChain xmlns="http://schemas.openxmlformats.org/spreadsheetml/2006/main">
  <c r="AO70" i="6" l="1"/>
  <c r="H70" i="6"/>
  <c r="F70" i="6"/>
  <c r="G69" i="6" l="1"/>
  <c r="G15" i="6"/>
  <c r="G6" i="6"/>
  <c r="G5" i="6"/>
  <c r="G4" i="6"/>
  <c r="AP69" i="6" l="1"/>
  <c r="G68" i="6" l="1"/>
  <c r="G54" i="6"/>
  <c r="G55" i="6"/>
  <c r="G56" i="6"/>
  <c r="G57" i="6"/>
  <c r="G58" i="6"/>
  <c r="G59" i="6"/>
  <c r="G60" i="6"/>
  <c r="G61" i="6"/>
  <c r="G62" i="6"/>
  <c r="G63" i="6"/>
  <c r="G64" i="6"/>
  <c r="G65" i="6"/>
  <c r="G66" i="6"/>
  <c r="G67" i="6"/>
  <c r="G53" i="6"/>
  <c r="G52" i="6"/>
  <c r="G51" i="6"/>
  <c r="G50" i="6"/>
  <c r="G43" i="6"/>
  <c r="G44" i="6"/>
  <c r="G45" i="6"/>
  <c r="G46" i="6"/>
  <c r="G47" i="6"/>
  <c r="G48" i="6"/>
  <c r="G49" i="6"/>
  <c r="G42" i="6"/>
  <c r="G40" i="6"/>
  <c r="G39" i="6"/>
  <c r="G31" i="6"/>
  <c r="G32" i="6"/>
  <c r="G33" i="6"/>
  <c r="G34" i="6"/>
  <c r="G35" i="6"/>
  <c r="G36" i="6"/>
  <c r="G37" i="6"/>
  <c r="G38" i="6"/>
  <c r="G30" i="6"/>
  <c r="G29" i="6"/>
  <c r="G28" i="6"/>
  <c r="G7" i="6"/>
  <c r="G8" i="6"/>
  <c r="G9" i="6"/>
  <c r="G10" i="6"/>
  <c r="G11" i="6"/>
  <c r="G12" i="6"/>
  <c r="G13" i="6"/>
  <c r="G14" i="6"/>
  <c r="G16" i="6"/>
  <c r="G17" i="6"/>
  <c r="G18" i="6"/>
  <c r="G19" i="6"/>
  <c r="G20" i="6"/>
  <c r="G21" i="6"/>
  <c r="G22" i="6"/>
  <c r="G23" i="6"/>
  <c r="G70" i="6" s="1"/>
  <c r="G24" i="6"/>
  <c r="G25" i="6"/>
  <c r="G26" i="6"/>
  <c r="G27" i="6"/>
  <c r="AO58" i="6" l="1"/>
  <c r="I70" i="6" l="1"/>
  <c r="AO33" i="6" l="1"/>
  <c r="AO38" i="6"/>
  <c r="J61" i="6" l="1"/>
  <c r="J70" i="6" l="1"/>
  <c r="K10" i="6" l="1"/>
  <c r="K70" i="6" l="1"/>
  <c r="L63" i="6" l="1"/>
  <c r="M33" i="6" l="1"/>
  <c r="L70" i="6"/>
  <c r="AO11" i="6" l="1"/>
  <c r="M61" i="6" l="1"/>
  <c r="M8" i="6"/>
  <c r="M44" i="6"/>
  <c r="U41" i="6" l="1"/>
  <c r="U40" i="6"/>
  <c r="M70" i="6" l="1"/>
  <c r="AO40" i="6" l="1"/>
  <c r="AO16" i="6"/>
  <c r="AO18" i="6"/>
  <c r="N52" i="6" l="1"/>
  <c r="N8" i="6" l="1"/>
  <c r="N63" i="6" l="1"/>
  <c r="N33" i="6"/>
  <c r="N15" i="6" l="1"/>
  <c r="N10" i="6" l="1"/>
  <c r="N5" i="6"/>
  <c r="N44" i="6"/>
  <c r="N70" i="6" l="1"/>
  <c r="AO7" i="6" l="1"/>
  <c r="AO9" i="6"/>
  <c r="O70" i="6" l="1"/>
  <c r="P33" i="6" l="1"/>
  <c r="O44" i="6" l="1"/>
  <c r="O32" i="6" l="1"/>
  <c r="P21" i="6" l="1"/>
  <c r="P45" i="6" l="1"/>
  <c r="P11" i="6" l="1"/>
  <c r="P70" i="6" l="1"/>
  <c r="Q70" i="6"/>
  <c r="R70" i="6"/>
  <c r="S70" i="6"/>
  <c r="T70" i="6"/>
  <c r="U70" i="6"/>
  <c r="V70" i="6"/>
  <c r="W70" i="6"/>
  <c r="X70" i="6"/>
  <c r="Y70" i="6"/>
  <c r="Z70" i="6"/>
  <c r="AA70" i="6"/>
  <c r="AB70" i="6"/>
  <c r="AC70" i="6"/>
  <c r="AD70" i="6"/>
  <c r="AE70" i="6"/>
  <c r="AF70" i="6"/>
  <c r="AG70" i="6"/>
  <c r="AH70" i="6"/>
  <c r="AI70" i="6"/>
  <c r="AJ70" i="6"/>
  <c r="AK70" i="6"/>
  <c r="AL70" i="6"/>
  <c r="AM70" i="6"/>
  <c r="AN70" i="6"/>
  <c r="AP68" i="6"/>
  <c r="P63" i="6" l="1"/>
  <c r="P13" i="6"/>
  <c r="P24" i="6" l="1"/>
  <c r="P32" i="6"/>
  <c r="P44" i="6" l="1"/>
  <c r="P54" i="6"/>
  <c r="P8" i="6" l="1"/>
  <c r="P10" i="6"/>
  <c r="AP67" i="6"/>
  <c r="P52" i="6"/>
  <c r="V41" i="6" l="1"/>
  <c r="V40" i="6"/>
  <c r="AO5" i="6" l="1"/>
  <c r="Q40" i="6" l="1"/>
  <c r="AB34" i="6" l="1"/>
  <c r="Q41" i="6" l="1"/>
  <c r="AP65" i="6" l="1"/>
  <c r="AP66" i="6"/>
  <c r="AO6" i="6" l="1"/>
  <c r="AO10" i="6"/>
  <c r="R21" i="6" l="1"/>
  <c r="R33" i="6" l="1"/>
  <c r="R56" i="6" l="1"/>
  <c r="R32" i="6" l="1"/>
  <c r="R10" i="6" l="1"/>
  <c r="R54" i="6"/>
  <c r="AP64" i="6"/>
  <c r="R13" i="6"/>
  <c r="R63" i="6" l="1"/>
  <c r="AP63" i="6" l="1"/>
  <c r="R5" i="6" l="1"/>
  <c r="R51" i="6"/>
  <c r="S44" i="6" l="1"/>
  <c r="S58" i="6" l="1"/>
  <c r="S11" i="6" l="1"/>
  <c r="S51" i="6" l="1"/>
  <c r="S38" i="6"/>
  <c r="S41" i="6" l="1"/>
  <c r="S25" i="6" l="1"/>
  <c r="S36" i="6"/>
  <c r="S48" i="6" l="1"/>
  <c r="F55" i="6" l="1"/>
  <c r="S52" i="6" l="1"/>
  <c r="S21" i="6"/>
  <c r="S54" i="6"/>
  <c r="S10" i="6"/>
  <c r="T37" i="6" l="1"/>
  <c r="T62" i="6" l="1"/>
  <c r="AP62" i="6"/>
  <c r="T50" i="6" l="1"/>
  <c r="T58" i="6"/>
  <c r="AP61" i="6"/>
  <c r="T32" i="6"/>
  <c r="T13" i="6"/>
  <c r="T8" i="6"/>
  <c r="T5" i="6"/>
  <c r="T47" i="6"/>
  <c r="U43" i="6" l="1"/>
  <c r="AP60" i="6"/>
  <c r="U22" i="6"/>
  <c r="AP59" i="6"/>
  <c r="U58" i="6"/>
  <c r="AP58" i="6"/>
  <c r="AP57" i="6"/>
  <c r="AP56" i="6" l="1"/>
  <c r="V38" i="6" l="1"/>
  <c r="V13" i="6"/>
  <c r="V9" i="6"/>
  <c r="V10" i="6" l="1"/>
  <c r="V32" i="6"/>
  <c r="V52" i="6" l="1"/>
  <c r="AP40" i="6"/>
  <c r="Z40" i="6"/>
  <c r="X40" i="6"/>
  <c r="W33" i="6" l="1"/>
  <c r="AP55" i="6" l="1"/>
  <c r="W38" i="6" l="1"/>
  <c r="AP54" i="6" l="1"/>
  <c r="W16" i="6"/>
  <c r="AP53" i="6" l="1"/>
  <c r="W52" i="6"/>
  <c r="AP52" i="6" l="1"/>
  <c r="AP51" i="6"/>
  <c r="X14" i="6" l="1"/>
  <c r="X10" i="6" l="1"/>
  <c r="X5" i="6" l="1"/>
  <c r="X9" i="6" l="1"/>
  <c r="X50" i="6" l="1"/>
  <c r="AP50" i="6" s="1"/>
  <c r="AP48" i="6"/>
  <c r="AP49" i="6"/>
  <c r="X8" i="6" l="1"/>
  <c r="AP47" i="6" l="1"/>
  <c r="X25" i="6"/>
  <c r="X16" i="6"/>
  <c r="X44" i="6" l="1"/>
  <c r="AP46" i="6" l="1"/>
  <c r="AP45" i="6" l="1"/>
  <c r="Y10" i="6" l="1"/>
  <c r="Y9" i="6" l="1"/>
  <c r="Y44" i="6"/>
  <c r="AP44" i="6"/>
  <c r="Z16" i="6" l="1"/>
  <c r="Z11" i="6"/>
  <c r="AP43" i="6" l="1"/>
  <c r="AP42" i="6"/>
  <c r="Z33" i="6" l="1"/>
  <c r="AP39" i="6" l="1"/>
  <c r="AP38" i="6"/>
  <c r="AA30" i="6" l="1"/>
  <c r="AP36" i="6" l="1"/>
  <c r="AP37" i="6"/>
  <c r="AA11" i="6" l="1"/>
  <c r="AA10" i="6"/>
  <c r="AA5" i="6"/>
  <c r="AP35" i="6"/>
  <c r="AP34" i="6" l="1"/>
  <c r="AB31" i="6" l="1"/>
  <c r="AB33" i="6"/>
  <c r="AP33" i="6" s="1"/>
  <c r="AB5" i="6"/>
  <c r="AB25" i="6"/>
  <c r="AB9" i="6"/>
  <c r="AB10" i="6"/>
  <c r="AP26" i="6" l="1"/>
  <c r="AP27" i="6"/>
  <c r="AP28" i="6"/>
  <c r="AP29" i="6"/>
  <c r="AP30" i="6"/>
  <c r="AP31" i="6"/>
  <c r="AP32" i="6"/>
  <c r="AC10" i="6" l="1"/>
  <c r="AC9" i="6" l="1"/>
  <c r="AC5" i="6"/>
  <c r="AC24" i="6"/>
  <c r="AP25" i="6"/>
  <c r="AC23" i="6"/>
  <c r="AC8" i="6"/>
  <c r="AP20" i="6"/>
  <c r="AP21" i="6"/>
  <c r="AP22" i="6"/>
  <c r="AP23" i="6"/>
  <c r="AP70" i="6" s="1"/>
  <c r="AP24" i="6" l="1"/>
  <c r="AP19" i="6"/>
  <c r="AO4" i="6" l="1"/>
  <c r="AP4" i="6" l="1"/>
  <c r="AE11" i="6"/>
  <c r="AP15" i="6"/>
  <c r="AP16" i="6"/>
  <c r="AP18" i="6"/>
  <c r="AP17" i="6"/>
  <c r="AP13" i="6" l="1"/>
  <c r="AP14" i="6"/>
  <c r="AP12" i="6" l="1"/>
  <c r="AP9" i="6"/>
  <c r="AP7" i="6"/>
  <c r="AG11" i="6"/>
  <c r="AP11" i="6" l="1"/>
  <c r="AJ6" i="6"/>
  <c r="AM6" i="6"/>
  <c r="AM8" i="6"/>
  <c r="AN6" i="6"/>
  <c r="AN5" i="6"/>
  <c r="AP6" i="6" l="1"/>
  <c r="AP8" i="6"/>
  <c r="AN10" i="6"/>
  <c r="AP10" i="6" l="1"/>
  <c r="AP5" i="6"/>
  <c r="AP71" i="6" s="1"/>
  <c r="L19" i="9"/>
  <c r="I19" i="9"/>
  <c r="H19" i="9"/>
  <c r="G19" i="9"/>
  <c r="F19" i="9"/>
  <c r="M18" i="9"/>
  <c r="K18" i="9"/>
  <c r="J18" i="9"/>
  <c r="M17" i="9"/>
  <c r="K17" i="9"/>
  <c r="J17" i="9"/>
  <c r="M16" i="9"/>
  <c r="K16" i="9"/>
  <c r="J16" i="9"/>
  <c r="M15" i="9"/>
  <c r="K15" i="9"/>
  <c r="J15" i="9"/>
  <c r="H11" i="9"/>
  <c r="G11" i="9"/>
  <c r="F11" i="9"/>
  <c r="M10" i="9"/>
  <c r="K10" i="9"/>
  <c r="J10" i="9"/>
  <c r="L9" i="9"/>
  <c r="I9" i="9"/>
  <c r="K9" i="9" s="1"/>
  <c r="L8" i="9"/>
  <c r="M8" i="9" s="1"/>
  <c r="I8" i="9"/>
  <c r="J8" i="9" s="1"/>
  <c r="L7" i="9"/>
  <c r="I7" i="9"/>
  <c r="M7" i="9" s="1"/>
  <c r="M6" i="9"/>
  <c r="K6" i="9"/>
  <c r="J6" i="9"/>
  <c r="H21" i="9" l="1"/>
  <c r="L11" i="9"/>
  <c r="L21" i="9" s="1"/>
  <c r="F21" i="9"/>
  <c r="K19" i="9"/>
  <c r="G21" i="9"/>
  <c r="M19" i="9"/>
  <c r="J7" i="9"/>
  <c r="J9" i="9"/>
  <c r="K7" i="9"/>
  <c r="M9" i="9"/>
  <c r="M11" i="9" s="1"/>
  <c r="M21" i="9" s="1"/>
  <c r="I11" i="9"/>
  <c r="I21" i="9" s="1"/>
  <c r="K8" i="9"/>
  <c r="K11" i="9" l="1"/>
  <c r="K21" i="9" s="1"/>
</calcChain>
</file>

<file path=xl/comments1.xml><?xml version="1.0" encoding="utf-8"?>
<comments xmlns="http://schemas.openxmlformats.org/spreadsheetml/2006/main">
  <authors>
    <author>Foret Oldřich</author>
  </authors>
  <commentList>
    <comment ref="AN5" authorId="0" shapeId="0">
      <text>
        <r>
          <rPr>
            <b/>
            <sz val="9"/>
            <color indexed="81"/>
            <rFont val="Tahoma"/>
            <family val="2"/>
            <charset val="238"/>
          </rPr>
          <t xml:space="preserve">Přesun finančních prostředků rev. úvěru na projekt: 
II/433 Prostějov - Mořice ve výši: 7 315 000 a 431 000 Kč.
II/449 křiž. II/366 - MÚK Unčovice ve výši: 3 100 000 Kč
</t>
        </r>
      </text>
    </comment>
    <comment ref="AM6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Záchrana a zpřístupnění paláce na hradě Helfštýn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N6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rekonstrukce budovy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E7" authorId="0" shapeId="0">
      <text>
        <r>
          <rPr>
            <b/>
            <sz val="9"/>
            <color indexed="81"/>
            <rFont val="Tahoma"/>
            <family val="2"/>
            <charset val="238"/>
          </rPr>
          <t>Není v návrhu rozpočtu na rok 2018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M8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finančních prostředků rev. úvěru na projekt: 
II/449 křiž. II/366 - MÚK Unčovice ve výši: 6 090 000 Kč.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N10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rekonstrukce budovy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E55" authorId="0" shapeId="0">
      <text>
        <r>
          <rPr>
            <b/>
            <sz val="9"/>
            <color indexed="81"/>
            <rFont val="Tahoma"/>
            <family val="2"/>
            <charset val="238"/>
          </rPr>
          <t xml:space="preserve">Projekt vedený v EUR
</t>
        </r>
        <r>
          <rPr>
            <sz val="9"/>
            <color indexed="81"/>
            <rFont val="Tahoma"/>
            <family val="2"/>
            <charset val="238"/>
          </rPr>
          <t>Dotace pro OK:
66 453,71 EUR = 1 794 250,17 Kč (kurz dle rozhodnutí 27,00 CZK/EUR)
1 129 713,15 = 28 802 036,76 Kč (přepočteno kurzem OK pro rok 2018 - 25,495 CZK/EUR)</t>
        </r>
      </text>
    </comment>
  </commentList>
</comments>
</file>

<file path=xl/sharedStrings.xml><?xml version="1.0" encoding="utf-8"?>
<sst xmlns="http://schemas.openxmlformats.org/spreadsheetml/2006/main" count="218" uniqueCount="151">
  <si>
    <t>ORG</t>
  </si>
  <si>
    <t>Název projektu</t>
  </si>
  <si>
    <t>Celkem</t>
  </si>
  <si>
    <t>Předfinancování 2015</t>
  </si>
  <si>
    <t>Celkové náklady</t>
  </si>
  <si>
    <t>ORJ</t>
  </si>
  <si>
    <t>§</t>
  </si>
  <si>
    <t>Dotace</t>
  </si>
  <si>
    <t>Celkem OK 2015</t>
  </si>
  <si>
    <t>Podíl OK 2015</t>
  </si>
  <si>
    <t>Seskup. Pol.</t>
  </si>
  <si>
    <t>v tis. Kč</t>
  </si>
  <si>
    <t>Podíl OK 2015 v %</t>
  </si>
  <si>
    <t>RU 2015</t>
  </si>
  <si>
    <t>Zůstatek          Podíl OK</t>
  </si>
  <si>
    <t>II/439 Ústí – průtah – hranice okr. Vsetín</t>
  </si>
  <si>
    <t>II/446 Chomoutov - Pňovice, křižovatka silnic II/446 a III/44613</t>
  </si>
  <si>
    <t>III/44317 Velká Bystřice - okružní křižovatka</t>
  </si>
  <si>
    <t>III/36916 Šumperk - okružní křižovatka, ul. Temenická</t>
  </si>
  <si>
    <t>Realizace energeticky úsporných opatření - Domov důchodců Prostějov</t>
  </si>
  <si>
    <t>SSOK</t>
  </si>
  <si>
    <t>Silnice II/373 Chudobín – směr Slavětín</t>
  </si>
  <si>
    <t>Silnice II/644  hr. okresu – Mohelnice, ve staničení 11,034 – 20,396</t>
  </si>
  <si>
    <t>Stavební úpravy silnice II/150 v Dřevohosticích</t>
  </si>
  <si>
    <t>II/150 Rokytnice - Předmostí</t>
  </si>
  <si>
    <t>Projekty spolufinancované z evropských fondů - po aktualizaci</t>
  </si>
  <si>
    <t>Celkem SSOK</t>
  </si>
  <si>
    <t>Zůstatek revolvingu ke splacení</t>
  </si>
  <si>
    <t>Čerpání revolvingu KB</t>
  </si>
  <si>
    <t>Muzeum Komenského v Přerově - rekonstrukce budovy</t>
  </si>
  <si>
    <t>v Kč</t>
  </si>
  <si>
    <t>II/446 Uničov - Strukov</t>
  </si>
  <si>
    <t>II/449 křiž. II/366 – MÚK Unčovice</t>
  </si>
  <si>
    <t>II/448 Drahanovice - Olomouc</t>
  </si>
  <si>
    <t>Muzeum Komenského v Přerově – Záchrana a zpřístupnění paláce na hradě Helfštýn</t>
  </si>
  <si>
    <t>Realizace depozitáře pro Vědeckou knihovnu v Olomouci</t>
  </si>
  <si>
    <t>Celková dotace dle rozhodnutí</t>
  </si>
  <si>
    <t>II/433 Prostějov - Mořice</t>
  </si>
  <si>
    <t>Přehled čerpání a splácení revolvingového uvěru</t>
  </si>
  <si>
    <t>Realizace energeticky úsporných opatření – OU a praktická škola Lipová - lázně</t>
  </si>
  <si>
    <t>Zůstatek revolvingového úvěru KB k čerpání</t>
  </si>
  <si>
    <t>7. dílčí čerpání revolvingu KB (5.2.2018) UR/34/56/2018</t>
  </si>
  <si>
    <t>5. dílčí čerpání revolvingu KB (11.12.2017) UR/30/58/2017</t>
  </si>
  <si>
    <t>4. dílčí čerpání revolvingu KB (13.11.2017) UR/27/46/2017</t>
  </si>
  <si>
    <t>3. dílčí čerpání revolvingu KB (2.10.2017) UR/24/45/2017</t>
  </si>
  <si>
    <t>2. dílčí čerpání revolvingu KB (11.9.2017) UR/22/54/2017</t>
  </si>
  <si>
    <t>1. dílčí čerpání revolvingu KB (12.6.2017) UR/17/47/2017</t>
  </si>
  <si>
    <t>8. dílčí čerpání revolvingu KB (19.2.2018) UR/35/35/2018</t>
  </si>
  <si>
    <t>Realizace energeticky úsporných opatření - SŠ, ZŠ a MŠ Prostějov - budova MŠ, ul. St. Manharda a) zateplení</t>
  </si>
  <si>
    <t>Realizace energeticky úsporných opatření - SŠ, ZŠ a MŠ Prostějov - budova MŠ, ul. St. Manharda b) vzduchotechnika</t>
  </si>
  <si>
    <t>Splátka revolvingu KB</t>
  </si>
  <si>
    <t>Střední škola gastronomie a farmářství Jeseník - Tělocvična</t>
  </si>
  <si>
    <t>Realizace energeticky úsporných opatření - SOŠ lesnická a strojírenská Šternberk - domov mládeže</t>
  </si>
  <si>
    <t>Dětské centrum Ostrůvek - Zateplení budovy a střechy objektu D, Mošnerova 1 a) zateplení</t>
  </si>
  <si>
    <t>Dětské centrum Ostrůvek - Zateplení budovy a střechy objektu D, Mošnerova 1 b) vzduchotechnika</t>
  </si>
  <si>
    <t>9. dílčí čerpání revolvingu KB (12.3.2018) UR/37/35/2018</t>
  </si>
  <si>
    <t>10. dílčí čerpání revolvingu KB (26.3.2018) UR/38/73/2018</t>
  </si>
  <si>
    <t>6. dílčí čerpání revolvingu KB (22. 1. 2018) UR/33/48/2018</t>
  </si>
  <si>
    <t>11. dílčí čerpání revolvingu KB (16.4.2018) UR/39/54/2018</t>
  </si>
  <si>
    <t>Střední škola logistiky a chemie, Olomouc, U Hradiska 29 - Zateplení budovy školy a) zateplení</t>
  </si>
  <si>
    <t>Střední škola logistiky a chemie, Olomouc, U Hradiska 29 - Zateplení budovy školy b) vzduchotechnika</t>
  </si>
  <si>
    <t>Nákup vybavení a zařízení pro odbornou výuku včetně potřebného IT</t>
  </si>
  <si>
    <t>Kybernetická bezpečnost Krajského úřadu Olomouckého kraje</t>
  </si>
  <si>
    <t xml:space="preserve">Centrum Dominika Kokory, p. o. – rekonstrukce budovy </t>
  </si>
  <si>
    <t>Centrum polytechnické výchovy (Střední škola polytechnická, Olomouc, Rooseveltova 79)</t>
  </si>
  <si>
    <t>Realizace energeticky úsporných opatření – SŠ technická a zemědělská Mohelnice b) vzduchotechnika</t>
  </si>
  <si>
    <t>Realizace energeticky úsporných opatření – SŠ technická a zemědělská Mohelnice a) zateplení</t>
  </si>
  <si>
    <t>Realizace energeticky úsporných opatření - SPŠ elektrotechnická Mohelnice - škola, dílny b) vzduchotechnika</t>
  </si>
  <si>
    <t>Realizace energeticky úsporných opatření - SPŠ elektrotechnická Mohelnice - škola, dílny a) zateplení</t>
  </si>
  <si>
    <t>II/441 Křiž. R35 - hr. Kraje Moravskoslezského</t>
  </si>
  <si>
    <t xml:space="preserve">II/444 kř. R35 Mohelnice - Úsov </t>
  </si>
  <si>
    <t>12. dílčí čerpání revolvingu KB (10.5.2018) UR/41/32/2018</t>
  </si>
  <si>
    <t>Pořízení techniky pro odbornou výuku s IT podporou pro SOŠL a S Šternberk</t>
  </si>
  <si>
    <t>Pořízení nových zařízení a vybavení pro odbornou výuku včetně IT podpory</t>
  </si>
  <si>
    <t>Pořízení vybavení pro odborné učebny - modernizace CNC zařízení a 3D zařízení včetně SW, rekonstrukce nové učebny programovatelných automatů, modernizace konektivity školy ve vazbě na odborné předměty</t>
  </si>
  <si>
    <t>II/444 Medlov - průtah</t>
  </si>
  <si>
    <t>Modernizace infrastruktury Gymnázia Jiřího Wolkera - modernizace učeben ve vazbě na přírodní vědy</t>
  </si>
  <si>
    <t>Vybudování učeben pro výuku oborů Obalová technika, Tiskař na polygrafických strojích a Reprodukční grafik pro média včetně IT podpory</t>
  </si>
  <si>
    <t>13. dílčí čerpání revolvingu KB (21.5.2018) UR/42/42/2018</t>
  </si>
  <si>
    <t>14. dílčí čerpání revolvingu KB (4.6.2018) UR/43/67/2018</t>
  </si>
  <si>
    <t>Celková rekonstrukce zastaralých laboratoří chemických, fyzikálních a biologických, včetně nového vybavení</t>
  </si>
  <si>
    <t>Pořízení CNC strojů, konvenčních obráběcích strojů a vybudování multifukční výukové učebny</t>
  </si>
  <si>
    <t>Dětský domov a školní jídelna, Olomouc, U Sportovní haly 1a a domov mládeže při SŠ zdravotnické Olomouc -zateplení budovy a lodžie</t>
  </si>
  <si>
    <t>Modernizace a vybavení odborné učebny pro obor autolakýrník</t>
  </si>
  <si>
    <t>Vybudování učebny polytechnického vzdělávání</t>
  </si>
  <si>
    <t>15. dílčí čerpání revolvingu KB (18.6.2018) UR/44/47/2018</t>
  </si>
  <si>
    <t>Modernizace učeben a laboratoří na ulici Kouřílkova 8 a Bratří Hovůrkových 17</t>
  </si>
  <si>
    <t>Zřízení jazykové laboratoře, laboratoře fyziky a odborné učebny fyziky</t>
  </si>
  <si>
    <t>Pořízení techniky pro odbornou výuku s IT podporou</t>
  </si>
  <si>
    <t>Modernizace učeben odborného výcviku včetně SW pro CNC stroje</t>
  </si>
  <si>
    <t>16. dílčí čerpání revolvingu KB (25.6.2018)                 UR/45/10/2018</t>
  </si>
  <si>
    <t>Vybavení školních laboratoří v bezbariérové škole (VOŠ a SPŠ elektrotechnická - Olomouc, Božetěchova 3)</t>
  </si>
  <si>
    <t>Gymnázium Jana Blahoslava a Střední pedagogická škola Přerov - vybudování chemické laboratoře, dvou jazykových učeben, vybudování fyzikální učebny a konektivity školy</t>
  </si>
  <si>
    <t>Kybernetická bezpečnost ICT Odborného léčebného ústavu Paseka, p.o.</t>
  </si>
  <si>
    <t>SŠZe Přerov - modernizace teoretické a odborné výuky</t>
  </si>
  <si>
    <t>Modernizace učeben, vybavení a vnitřní konektivity školy - Gymnázium Olomouc - Hejčín</t>
  </si>
  <si>
    <t>Hotelová škola V. Priessnitze Jeseník - zateplení budovy KORD - a)</t>
  </si>
  <si>
    <t>Zvýšení přeshraniční dostupnosti Písečná - Nysa</t>
  </si>
  <si>
    <t>17. dílčí čerpání revolvingu KB (23.7.2018) UR/46/60/2018</t>
  </si>
  <si>
    <t>Modernizace školních dílen jako centrum odborné přípravy - stavební část (Sigmundova střední škola strojírenská, Lutín)</t>
  </si>
  <si>
    <t>Výstavba odborných učeben - laboratoře pro výuku v oboru 28-44-M/01 aplikovaná chemie a bezbariérové úpravy (Střední škola logistiky a chemie, Olomouc, U hradiska 29)</t>
  </si>
  <si>
    <t>Bezbariérovost školy a pořízení strojů pro zajištění výuky oborů Strojírenství, Elektrotechnika, Průmyslový a Interiérový design</t>
  </si>
  <si>
    <t>18. dílčí čerpání revolvingu KB (14.8.2018) UR/47/7/2018</t>
  </si>
  <si>
    <t>19. dílčí čerpání revolvingu KB (27.8.2018) UR/48/85/2018</t>
  </si>
  <si>
    <t>Modernizace cukrářského praktického pracoviště a zajištění bezbariérovosti školy</t>
  </si>
  <si>
    <t>Modernizace vozového parku pro praktické vyučování a odborné praxe</t>
  </si>
  <si>
    <t>Vybudování odborné učebny včetně vnitřního zařízení a materiálového vybavení ve středisku praktického vyučování oboru instalatér a elektrikář a pořízení nákladního vozidla pro výuku řidičského oprávnění skupiny C a C + E</t>
  </si>
  <si>
    <t>Modernizace školních dílen jako centrum odborné přípravy - strojní část (Sigmundova střední škola strojírenská, Lutín)</t>
  </si>
  <si>
    <t>Pořízení nových technologií pro odbornou výuku a vytvoření fyzikálně-chemické učebny a laboratoře na SŠTZ Mohelnice</t>
  </si>
  <si>
    <t>20. dílčí čerpání revolvingu KB (10.9.2018) UR/49/53/2018</t>
  </si>
  <si>
    <t>Realizace energeticky úsporných opatření - Nemocnice Přerov - domov sester 2</t>
  </si>
  <si>
    <t>ZZS OK - Modernizace výcvikových středisek</t>
  </si>
  <si>
    <t>Realizátor</t>
  </si>
  <si>
    <t>Olomoucký kraj</t>
  </si>
  <si>
    <t>Správa silnic Olomouckého kraje</t>
  </si>
  <si>
    <t>Střední zdravotnická škola a Vyšší odborná škola zdravotnická Emanuela Pöttinga a Jazyková škola s právem státní jazykové zkoušky, Pöttingova 2, Olomouc</t>
  </si>
  <si>
    <t>Střední průmyslová škola, Studentská 1384,   Hranice</t>
  </si>
  <si>
    <t>Střední škola řezbářská, Nádražní 146, Tovačov</t>
  </si>
  <si>
    <t>Střední škola polytechnická, Rooseveltova 79, Olomouc</t>
  </si>
  <si>
    <t>Střední odborná škola lesnická a strojírenská, Opavská 8, Šternberk</t>
  </si>
  <si>
    <t>Gymnázium Jiřího Wolkera, Kollárova 3,  Prostějov</t>
  </si>
  <si>
    <t xml:space="preserve">Střední škola polygrafická, Střední novosadská 87/53, Olomouc </t>
  </si>
  <si>
    <t>Střední odborná škola a Střední odborné učiliště strojírenské a stavební, Dukelská 1240, Jeseník</t>
  </si>
  <si>
    <t>Vyšší odborná škola a Střední škola automobilní, U Dráhy 827/6, Zábřeh</t>
  </si>
  <si>
    <t>Gymnázium Jakuba Škody, Komenského 29,  Přerov</t>
  </si>
  <si>
    <t xml:space="preserve">Gymnázium, náměstí Osvobození 20,   Zábřeh </t>
  </si>
  <si>
    <t>Gymnázium Jana Blahoslava a Střední pedagogická škola, Denisova 3,  Přerov</t>
  </si>
  <si>
    <t>Odborný léčebný ústav, Paseka 145</t>
  </si>
  <si>
    <t>Střední odborná škola obchodu a služeb, Štursova 14, Olomouc</t>
  </si>
  <si>
    <t xml:space="preserve">Švehlova střední škola polytechnická, nám. Spojenců 17, Prostějov </t>
  </si>
  <si>
    <t>21. dílčí čerpání revolvingu KB (17.9.2018) UR/50/14/2018</t>
  </si>
  <si>
    <t>Podpora přírodních věd, technických oborů a využití digitálních technologií v zájmovém vzdělávání</t>
  </si>
  <si>
    <t>Hotelová škola V. Priessnitze Jeseník - zateplení budovy KORD - b)</t>
  </si>
  <si>
    <t>23. dílčí čerpání revolvingu KB (29.10.2018) UR/52/44/2018</t>
  </si>
  <si>
    <t>5.1b. Realizace energeticky úsporných opatření - Gymnázium Jakuba Škody, Přerov - přístavba GJŠ II. v Havlíčkově ulici - b) vzduchotechnika</t>
  </si>
  <si>
    <t>5.1a. Realizace energeticky úsporných opatření - Gymnázium Jakuba Škody, Přerov - přístavba GJŠ II. v Havlíčkově ulici - a) zateplení</t>
  </si>
  <si>
    <t>24. dílčí čerpání revolvingu KB (12.11.2018)  UR/53/53/2018</t>
  </si>
  <si>
    <t>Nákup CNC dřevoobráběcího centra</t>
  </si>
  <si>
    <t>Gymnázium, Šternberk, Horní náměstí 5</t>
  </si>
  <si>
    <t>Rekonstrukce laboratoří biologie a chemie včetně odborných učeben biologie a chemie</t>
  </si>
  <si>
    <t>22. dílčí čerpání revolvingu KB (15.10.2018) UR/51/50/2018</t>
  </si>
  <si>
    <t>25. dílčí čerpání revolvingu KB (26.11.2018)  UR/54/100/2018</t>
  </si>
  <si>
    <t>26. dílčí čerpání revolvingu KB (10.12.2018)  UR/55/48/2018</t>
  </si>
  <si>
    <t>27. dílčí čerpání revolvingu KB (17.12.2018)  UR/56/10/2018</t>
  </si>
  <si>
    <t>28. dílčí čerpání revolvingu KB (21.01.2019)   UR/57/59/2019</t>
  </si>
  <si>
    <t>29. dílčí čerpání revolvingu KB (04.02.2019)  UR/58/64/2019</t>
  </si>
  <si>
    <t>30. dílčí čerpání revolvingu KB (18.02.2019)  UR/59/42/2019</t>
  </si>
  <si>
    <t>31. dílčí čerpání revolvingu KB (18.03.2019)  UR/61/69/2019</t>
  </si>
  <si>
    <t>32. dílčí čerpání revolvingu KB (01.04.2019)  UR/62/67/2019</t>
  </si>
  <si>
    <t>ZZS OK - Modernizace, budování a rozvoj informačních a komunikačních systémů</t>
  </si>
  <si>
    <t>33. dílčí čerpání revolvingu KB (15.04.2019)  UR/63/66/2019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</si>
</sst>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rgb="FF000000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13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13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59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hair">
        <color auto="1"/>
      </bottom>
      <diagonal/>
    </border>
    <border>
      <left style="thick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hair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ck">
        <color auto="1"/>
      </right>
      <top style="dashed">
        <color auto="1"/>
      </top>
      <bottom/>
      <diagonal/>
    </border>
    <border>
      <left style="thick">
        <color auto="1"/>
      </left>
      <right style="thin">
        <color auto="1"/>
      </right>
      <top style="dashed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/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thick">
        <color auto="1"/>
      </right>
      <top/>
      <bottom style="dashed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dotted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ouble">
        <color auto="1"/>
      </bottom>
      <diagonal/>
    </border>
  </borders>
  <cellStyleXfs count="13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5" fillId="0" borderId="0"/>
  </cellStyleXfs>
  <cellXfs count="201">
    <xf numFmtId="0" fontId="0" fillId="0" borderId="0" xfId="0"/>
    <xf numFmtId="0" fontId="1" fillId="0" borderId="0" xfId="0" applyFont="1" applyAlignment="1">
      <alignment horizontal="right"/>
    </xf>
    <xf numFmtId="0" fontId="6" fillId="0" borderId="0" xfId="1" applyFont="1" applyFill="1" applyBorder="1" applyAlignment="1"/>
    <xf numFmtId="0" fontId="6" fillId="0" borderId="0" xfId="1" applyFont="1" applyFill="1" applyBorder="1" applyAlignment="1">
      <alignment horizontal="right"/>
    </xf>
    <xf numFmtId="0" fontId="7" fillId="0" borderId="0" xfId="1" applyFont="1" applyFill="1" applyBorder="1"/>
    <xf numFmtId="0" fontId="6" fillId="0" borderId="0" xfId="1" applyFont="1" applyFill="1" applyAlignment="1">
      <alignment horizontal="right"/>
    </xf>
    <xf numFmtId="0" fontId="7" fillId="0" borderId="0" xfId="1" applyFont="1" applyFill="1"/>
    <xf numFmtId="0" fontId="10" fillId="0" borderId="13" xfId="1" applyFont="1" applyFill="1" applyBorder="1" applyAlignment="1">
      <alignment horizontal="center" vertical="center"/>
    </xf>
    <xf numFmtId="0" fontId="10" fillId="0" borderId="8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left" vertical="center" wrapText="1"/>
    </xf>
    <xf numFmtId="3" fontId="11" fillId="0" borderId="8" xfId="1" applyNumberFormat="1" applyFont="1" applyFill="1" applyBorder="1" applyAlignment="1">
      <alignment horizontal="center" vertical="center"/>
    </xf>
    <xf numFmtId="3" fontId="10" fillId="0" borderId="8" xfId="1" applyNumberFormat="1" applyFont="1" applyFill="1" applyBorder="1" applyAlignment="1">
      <alignment horizontal="center" vertical="center" wrapText="1"/>
    </xf>
    <xf numFmtId="9" fontId="10" fillId="0" borderId="8" xfId="1" applyNumberFormat="1" applyFont="1" applyFill="1" applyBorder="1" applyAlignment="1">
      <alignment horizontal="center" vertical="center" wrapText="1"/>
    </xf>
    <xf numFmtId="3" fontId="6" fillId="0" borderId="8" xfId="1" applyNumberFormat="1" applyFont="1" applyFill="1" applyBorder="1" applyAlignment="1">
      <alignment horizontal="center" vertical="center" wrapText="1"/>
    </xf>
    <xf numFmtId="3" fontId="7" fillId="0" borderId="8" xfId="1" applyNumberFormat="1" applyFont="1" applyFill="1" applyBorder="1" applyAlignment="1">
      <alignment horizontal="center" vertical="center" wrapText="1"/>
    </xf>
    <xf numFmtId="3" fontId="7" fillId="0" borderId="14" xfId="1" applyNumberFormat="1" applyFont="1" applyFill="1" applyBorder="1" applyAlignment="1">
      <alignment horizontal="center" vertical="center"/>
    </xf>
    <xf numFmtId="0" fontId="10" fillId="0" borderId="15" xfId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left" vertical="center" wrapText="1"/>
    </xf>
    <xf numFmtId="3" fontId="10" fillId="0" borderId="3" xfId="1" applyNumberFormat="1" applyFont="1" applyFill="1" applyBorder="1" applyAlignment="1">
      <alignment horizontal="center" vertical="center"/>
    </xf>
    <xf numFmtId="3" fontId="10" fillId="0" borderId="3" xfId="1" applyNumberFormat="1" applyFont="1" applyFill="1" applyBorder="1" applyAlignment="1">
      <alignment horizontal="center" vertical="center" wrapText="1"/>
    </xf>
    <xf numFmtId="3" fontId="6" fillId="0" borderId="3" xfId="1" applyNumberFormat="1" applyFont="1" applyFill="1" applyBorder="1" applyAlignment="1">
      <alignment horizontal="center" vertical="center" wrapText="1"/>
    </xf>
    <xf numFmtId="3" fontId="7" fillId="0" borderId="3" xfId="1" applyNumberFormat="1" applyFont="1" applyFill="1" applyBorder="1" applyAlignment="1">
      <alignment horizontal="center" vertical="center"/>
    </xf>
    <xf numFmtId="3" fontId="7" fillId="0" borderId="16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 wrapText="1"/>
    </xf>
    <xf numFmtId="0" fontId="10" fillId="0" borderId="11" xfId="1" applyFont="1" applyFill="1" applyBorder="1" applyAlignment="1">
      <alignment horizontal="center" vertical="center"/>
    </xf>
    <xf numFmtId="0" fontId="10" fillId="0" borderId="12" xfId="1" applyFont="1" applyFill="1" applyBorder="1" applyAlignment="1">
      <alignment horizontal="center" vertical="center"/>
    </xf>
    <xf numFmtId="0" fontId="10" fillId="2" borderId="12" xfId="1" applyFont="1" applyFill="1" applyBorder="1" applyAlignment="1">
      <alignment horizontal="left" vertical="center" wrapText="1"/>
    </xf>
    <xf numFmtId="3" fontId="10" fillId="0" borderId="12" xfId="1" applyNumberFormat="1" applyFont="1" applyFill="1" applyBorder="1" applyAlignment="1">
      <alignment horizontal="center" vertical="center"/>
    </xf>
    <xf numFmtId="3" fontId="10" fillId="0" borderId="12" xfId="1" applyNumberFormat="1" applyFont="1" applyFill="1" applyBorder="1" applyAlignment="1">
      <alignment horizontal="center" vertical="center" wrapText="1"/>
    </xf>
    <xf numFmtId="9" fontId="10" fillId="0" borderId="4" xfId="1" applyNumberFormat="1" applyFont="1" applyFill="1" applyBorder="1" applyAlignment="1">
      <alignment horizontal="center" vertical="center" wrapText="1"/>
    </xf>
    <xf numFmtId="3" fontId="6" fillId="0" borderId="12" xfId="1" applyNumberFormat="1" applyFont="1" applyFill="1" applyBorder="1" applyAlignment="1">
      <alignment horizontal="center" vertical="center" wrapText="1"/>
    </xf>
    <xf numFmtId="3" fontId="7" fillId="0" borderId="17" xfId="1" applyNumberFormat="1" applyFont="1" applyFill="1" applyBorder="1" applyAlignment="1">
      <alignment horizontal="center" vertical="center"/>
    </xf>
    <xf numFmtId="3" fontId="7" fillId="0" borderId="18" xfId="1" applyNumberFormat="1" applyFont="1" applyFill="1" applyBorder="1" applyAlignment="1">
      <alignment horizontal="center" vertical="center"/>
    </xf>
    <xf numFmtId="3" fontId="12" fillId="0" borderId="2" xfId="1" applyNumberFormat="1" applyFont="1" applyFill="1" applyBorder="1" applyAlignment="1">
      <alignment horizontal="center" vertical="center"/>
    </xf>
    <xf numFmtId="3" fontId="12" fillId="0" borderId="20" xfId="1" applyNumberFormat="1" applyFont="1" applyFill="1" applyBorder="1" applyAlignment="1">
      <alignment horizontal="center" vertical="center"/>
    </xf>
    <xf numFmtId="3" fontId="12" fillId="0" borderId="21" xfId="1" applyNumberFormat="1" applyFont="1" applyFill="1" applyBorder="1" applyAlignment="1">
      <alignment horizontal="center" vertical="center"/>
    </xf>
    <xf numFmtId="0" fontId="13" fillId="0" borderId="0" xfId="1" applyFont="1" applyFill="1"/>
    <xf numFmtId="0" fontId="7" fillId="0" borderId="0" xfId="1" applyFont="1" applyFill="1" applyAlignment="1">
      <alignment wrapText="1"/>
    </xf>
    <xf numFmtId="0" fontId="7" fillId="4" borderId="15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left" vertical="center" wrapText="1"/>
    </xf>
    <xf numFmtId="3" fontId="7" fillId="0" borderId="3" xfId="1" applyNumberFormat="1" applyFont="1" applyFill="1" applyBorder="1" applyAlignment="1">
      <alignment horizontal="center"/>
    </xf>
    <xf numFmtId="0" fontId="7" fillId="4" borderId="22" xfId="1" applyFont="1" applyFill="1" applyBorder="1" applyAlignment="1">
      <alignment horizontal="center" vertical="center"/>
    </xf>
    <xf numFmtId="0" fontId="7" fillId="0" borderId="17" xfId="1" applyFont="1" applyFill="1" applyBorder="1" applyAlignment="1">
      <alignment horizontal="center" vertical="center"/>
    </xf>
    <xf numFmtId="0" fontId="10" fillId="0" borderId="17" xfId="1" applyFont="1" applyFill="1" applyBorder="1" applyAlignment="1">
      <alignment horizontal="center" vertical="center"/>
    </xf>
    <xf numFmtId="0" fontId="10" fillId="2" borderId="17" xfId="1" applyFont="1" applyFill="1" applyBorder="1" applyAlignment="1">
      <alignment horizontal="left" vertical="center" wrapText="1"/>
    </xf>
    <xf numFmtId="3" fontId="10" fillId="0" borderId="17" xfId="1" applyNumberFormat="1" applyFont="1" applyFill="1" applyBorder="1" applyAlignment="1">
      <alignment horizontal="center" vertical="center"/>
    </xf>
    <xf numFmtId="3" fontId="10" fillId="0" borderId="17" xfId="1" applyNumberFormat="1" applyFont="1" applyFill="1" applyBorder="1" applyAlignment="1">
      <alignment horizontal="center" vertical="center" wrapText="1"/>
    </xf>
    <xf numFmtId="3" fontId="6" fillId="0" borderId="17" xfId="1" applyNumberFormat="1" applyFont="1" applyFill="1" applyBorder="1" applyAlignment="1">
      <alignment horizontal="center" vertical="center" wrapText="1"/>
    </xf>
    <xf numFmtId="3" fontId="14" fillId="0" borderId="0" xfId="11" applyNumberFormat="1" applyFont="1" applyFill="1"/>
    <xf numFmtId="0" fontId="6" fillId="0" borderId="0" xfId="1" applyFont="1" applyFill="1" applyBorder="1"/>
    <xf numFmtId="3" fontId="12" fillId="5" borderId="2" xfId="1" applyNumberFormat="1" applyFont="1" applyFill="1" applyBorder="1" applyAlignment="1">
      <alignment horizontal="center" vertical="center"/>
    </xf>
    <xf numFmtId="3" fontId="12" fillId="5" borderId="20" xfId="1" applyNumberFormat="1" applyFont="1" applyFill="1" applyBorder="1" applyAlignment="1">
      <alignment horizontal="center" vertical="center"/>
    </xf>
    <xf numFmtId="0" fontId="2" fillId="0" borderId="0" xfId="0" applyFont="1" applyBorder="1" applyAlignment="1"/>
    <xf numFmtId="0" fontId="5" fillId="0" borderId="34" xfId="0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vertical="center" wrapText="1"/>
    </xf>
    <xf numFmtId="4" fontId="5" fillId="0" borderId="35" xfId="0" applyNumberFormat="1" applyFont="1" applyFill="1" applyBorder="1" applyAlignment="1">
      <alignment horizontal="right" vertical="center"/>
    </xf>
    <xf numFmtId="4" fontId="5" fillId="0" borderId="36" xfId="0" applyNumberFormat="1" applyFont="1" applyFill="1" applyBorder="1" applyAlignment="1">
      <alignment horizontal="right" vertical="center"/>
    </xf>
    <xf numFmtId="0" fontId="5" fillId="0" borderId="37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vertical="center" wrapText="1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9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vertical="center" wrapText="1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0" fontId="5" fillId="0" borderId="43" xfId="0" applyFont="1" applyFill="1" applyBorder="1" applyAlignment="1">
      <alignment horizontal="center" vertical="center"/>
    </xf>
    <xf numFmtId="0" fontId="5" fillId="0" borderId="44" xfId="0" applyFont="1" applyFill="1" applyBorder="1" applyAlignment="1">
      <alignment horizontal="center" vertical="center"/>
    </xf>
    <xf numFmtId="0" fontId="5" fillId="0" borderId="44" xfId="0" applyFont="1" applyFill="1" applyBorder="1" applyAlignment="1">
      <alignment vertical="center" wrapText="1"/>
    </xf>
    <xf numFmtId="4" fontId="5" fillId="0" borderId="44" xfId="0" applyNumberFormat="1" applyFont="1" applyFill="1" applyBorder="1" applyAlignment="1">
      <alignment horizontal="right" vertical="center"/>
    </xf>
    <xf numFmtId="4" fontId="5" fillId="0" borderId="45" xfId="0" applyNumberFormat="1" applyFont="1" applyFill="1" applyBorder="1" applyAlignment="1">
      <alignment horizontal="right" vertical="center"/>
    </xf>
    <xf numFmtId="0" fontId="5" fillId="0" borderId="46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vertical="center" wrapText="1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7" xfId="0" applyNumberFormat="1" applyFont="1" applyFill="1" applyBorder="1" applyAlignment="1">
      <alignment horizontal="right" vertical="center"/>
    </xf>
    <xf numFmtId="4" fontId="5" fillId="0" borderId="48" xfId="0" applyNumberFormat="1" applyFont="1" applyFill="1" applyBorder="1" applyAlignment="1">
      <alignment horizontal="right" vertical="center"/>
    </xf>
    <xf numFmtId="0" fontId="4" fillId="0" borderId="29" xfId="0" applyFont="1" applyFill="1" applyBorder="1" applyAlignment="1">
      <alignment vertical="top" wrapText="1"/>
    </xf>
    <xf numFmtId="0" fontId="4" fillId="0" borderId="30" xfId="0" applyFont="1" applyFill="1" applyBorder="1" applyAlignment="1">
      <alignment vertical="top" wrapText="1"/>
    </xf>
    <xf numFmtId="4" fontId="4" fillId="0" borderId="30" xfId="0" applyNumberFormat="1" applyFont="1" applyFill="1" applyBorder="1" applyAlignment="1">
      <alignment horizontal="right" vertical="top"/>
    </xf>
    <xf numFmtId="4" fontId="19" fillId="0" borderId="33" xfId="0" applyNumberFormat="1" applyFont="1" applyFill="1" applyBorder="1" applyAlignment="1">
      <alignment horizontal="right" vertical="top"/>
    </xf>
    <xf numFmtId="0" fontId="5" fillId="0" borderId="49" xfId="0" applyFont="1" applyFill="1" applyBorder="1" applyAlignment="1">
      <alignment horizontal="center" vertical="center"/>
    </xf>
    <xf numFmtId="0" fontId="5" fillId="0" borderId="49" xfId="0" applyFont="1" applyFill="1" applyBorder="1" applyAlignment="1">
      <alignment vertical="center" wrapText="1"/>
    </xf>
    <xf numFmtId="4" fontId="5" fillId="0" borderId="49" xfId="0" applyNumberFormat="1" applyFont="1" applyFill="1" applyBorder="1" applyAlignment="1">
      <alignment horizontal="right" vertical="center"/>
    </xf>
    <xf numFmtId="4" fontId="5" fillId="0" borderId="50" xfId="0" applyNumberFormat="1" applyFont="1" applyFill="1" applyBorder="1" applyAlignment="1">
      <alignment horizontal="right" vertical="center"/>
    </xf>
    <xf numFmtId="0" fontId="5" fillId="0" borderId="51" xfId="0" applyFont="1" applyFill="1" applyBorder="1" applyAlignment="1">
      <alignment horizontal="center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center" vertical="center" wrapText="1"/>
    </xf>
    <xf numFmtId="4" fontId="0" fillId="0" borderId="0" xfId="0" applyNumberFormat="1"/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35" xfId="0" applyFont="1" applyFill="1" applyBorder="1" applyAlignment="1">
      <alignment horizontal="left" vertical="center"/>
    </xf>
    <xf numFmtId="0" fontId="5" fillId="0" borderId="38" xfId="0" applyFont="1" applyFill="1" applyBorder="1" applyAlignment="1">
      <alignment horizontal="left" vertical="center"/>
    </xf>
    <xf numFmtId="0" fontId="5" fillId="0" borderId="44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49" xfId="0" applyFont="1" applyFill="1" applyBorder="1" applyAlignment="1">
      <alignment horizontal="left" vertical="center"/>
    </xf>
    <xf numFmtId="0" fontId="5" fillId="0" borderId="38" xfId="0" applyFont="1" applyFill="1" applyBorder="1" applyAlignment="1">
      <alignment horizontal="left" vertical="center" wrapText="1"/>
    </xf>
    <xf numFmtId="0" fontId="0" fillId="0" borderId="0" xfId="0" applyFill="1"/>
    <xf numFmtId="4" fontId="5" fillId="0" borderId="0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4" fillId="0" borderId="56" xfId="0" applyNumberFormat="1" applyFont="1" applyFill="1" applyBorder="1" applyAlignment="1">
      <alignment horizontal="right" vertical="top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0" fillId="0" borderId="38" xfId="0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0" fillId="0" borderId="38" xfId="0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57" xfId="0" applyFont="1" applyFill="1" applyBorder="1" applyAlignment="1">
      <alignment horizontal="center" vertical="center"/>
    </xf>
    <xf numFmtId="0" fontId="5" fillId="0" borderId="58" xfId="0" applyFont="1" applyFill="1" applyBorder="1" applyAlignment="1">
      <alignment horizontal="center" vertical="center"/>
    </xf>
    <xf numFmtId="0" fontId="5" fillId="0" borderId="58" xfId="0" applyFont="1" applyFill="1" applyBorder="1" applyAlignment="1">
      <alignment horizontal="left" vertical="center"/>
    </xf>
    <xf numFmtId="0" fontId="5" fillId="0" borderId="58" xfId="0" applyFont="1" applyFill="1" applyBorder="1" applyAlignment="1">
      <alignment vertical="center" wrapText="1"/>
    </xf>
    <xf numFmtId="4" fontId="5" fillId="0" borderId="58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48" xfId="0" applyFont="1" applyFill="1" applyBorder="1" applyAlignment="1">
      <alignment horizontal="left" vertical="center"/>
    </xf>
    <xf numFmtId="0" fontId="1" fillId="3" borderId="25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1" fillId="3" borderId="25" xfId="0" applyFont="1" applyFill="1" applyBorder="1" applyAlignment="1">
      <alignment horizontal="center" vertical="center"/>
    </xf>
    <xf numFmtId="0" fontId="1" fillId="3" borderId="23" xfId="0" applyFont="1" applyFill="1" applyBorder="1" applyAlignment="1">
      <alignment horizontal="center" vertical="center"/>
    </xf>
    <xf numFmtId="4" fontId="5" fillId="0" borderId="42" xfId="0" applyNumberFormat="1" applyFont="1" applyFill="1" applyBorder="1" applyAlignment="1">
      <alignment horizontal="right" vertical="center"/>
    </xf>
    <xf numFmtId="0" fontId="0" fillId="0" borderId="53" xfId="0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8" xfId="0" applyNumberFormat="1" applyFont="1" applyFill="1" applyBorder="1" applyAlignment="1">
      <alignment horizontal="right" vertical="center"/>
    </xf>
    <xf numFmtId="0" fontId="1" fillId="3" borderId="26" xfId="0" applyFont="1" applyFill="1" applyBorder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 wrapText="1"/>
    </xf>
    <xf numFmtId="0" fontId="19" fillId="0" borderId="31" xfId="0" applyFont="1" applyBorder="1" applyAlignment="1">
      <alignment horizontal="right" vertical="top"/>
    </xf>
    <xf numFmtId="0" fontId="19" fillId="0" borderId="32" xfId="0" applyFont="1" applyBorder="1" applyAlignment="1">
      <alignment horizontal="right" vertical="top"/>
    </xf>
    <xf numFmtId="0" fontId="2" fillId="0" borderId="0" xfId="0" applyFont="1" applyBorder="1" applyAlignment="1">
      <alignment horizontal="left"/>
    </xf>
    <xf numFmtId="0" fontId="5" fillId="0" borderId="41" xfId="0" applyFont="1" applyFill="1" applyBorder="1" applyAlignment="1">
      <alignment horizontal="left" vertical="center" wrapText="1"/>
    </xf>
    <xf numFmtId="0" fontId="5" fillId="0" borderId="48" xfId="0" applyFont="1" applyFill="1" applyBorder="1" applyAlignment="1">
      <alignment horizontal="left" vertical="center" wrapText="1"/>
    </xf>
    <xf numFmtId="0" fontId="5" fillId="0" borderId="40" xfId="0" applyFont="1" applyFill="1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48" xfId="0" applyBorder="1" applyAlignment="1">
      <alignment horizontal="right" vertical="center"/>
    </xf>
    <xf numFmtId="0" fontId="1" fillId="3" borderId="24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16" fillId="3" borderId="25" xfId="0" applyFont="1" applyFill="1" applyBorder="1" applyAlignment="1">
      <alignment horizontal="center" vertical="center" wrapText="1"/>
    </xf>
    <xf numFmtId="0" fontId="16" fillId="3" borderId="23" xfId="0" applyFont="1" applyFill="1" applyBorder="1" applyAlignment="1">
      <alignment horizontal="center" vertical="center" wrapText="1"/>
    </xf>
    <xf numFmtId="0" fontId="1" fillId="3" borderId="54" xfId="0" applyFont="1" applyFill="1" applyBorder="1" applyAlignment="1">
      <alignment horizontal="center" vertical="center" wrapText="1"/>
    </xf>
    <xf numFmtId="0" fontId="1" fillId="3" borderId="55" xfId="0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/>
    </xf>
    <xf numFmtId="0" fontId="6" fillId="0" borderId="1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9" fillId="0" borderId="7" xfId="10" applyFont="1" applyFill="1" applyBorder="1" applyAlignment="1">
      <alignment horizontal="center" vertical="center" wrapText="1"/>
    </xf>
    <xf numFmtId="0" fontId="9" fillId="0" borderId="6" xfId="10" applyFont="1" applyFill="1" applyBorder="1" applyAlignment="1">
      <alignment horizontal="center" vertical="center" wrapText="1"/>
    </xf>
    <xf numFmtId="0" fontId="6" fillId="5" borderId="1" xfId="1" applyFont="1" applyFill="1" applyBorder="1" applyAlignment="1">
      <alignment horizontal="center" vertical="center" wrapText="1"/>
    </xf>
    <xf numFmtId="0" fontId="6" fillId="5" borderId="2" xfId="1" applyFont="1" applyFill="1" applyBorder="1" applyAlignment="1">
      <alignment horizontal="center" vertical="center" wrapText="1"/>
    </xf>
    <xf numFmtId="0" fontId="8" fillId="0" borderId="1" xfId="10" applyFont="1" applyFill="1" applyBorder="1" applyAlignment="1">
      <alignment horizontal="center" vertical="center" wrapText="1"/>
    </xf>
    <xf numFmtId="0" fontId="8" fillId="0" borderId="2" xfId="10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 wrapText="1"/>
    </xf>
    <xf numFmtId="0" fontId="12" fillId="0" borderId="19" xfId="1" applyFont="1" applyFill="1" applyBorder="1" applyAlignment="1">
      <alignment horizontal="left" vertical="center"/>
    </xf>
    <xf numFmtId="0" fontId="12" fillId="0" borderId="20" xfId="1" applyFont="1" applyFill="1" applyBorder="1" applyAlignment="1">
      <alignment horizontal="left" vertical="center"/>
    </xf>
    <xf numFmtId="0" fontId="13" fillId="0" borderId="5" xfId="11" applyFont="1" applyFill="1" applyBorder="1" applyAlignment="1">
      <alignment horizontal="left" vertical="center"/>
    </xf>
    <xf numFmtId="0" fontId="6" fillId="0" borderId="0" xfId="1" applyFont="1" applyFill="1" applyBorder="1" applyAlignment="1">
      <alignment horizontal="left"/>
    </xf>
  </cellXfs>
  <cellStyles count="13">
    <cellStyle name="Excel Built-in Normal" xfId="12"/>
    <cellStyle name="Normální" xfId="0" builtinId="0"/>
    <cellStyle name="Normální 10" xfId="1"/>
    <cellStyle name="normální 2" xfId="2"/>
    <cellStyle name="Normální 3" xfId="3"/>
    <cellStyle name="Normální 4" xfId="4"/>
    <cellStyle name="Normální 5" xfId="5"/>
    <cellStyle name="Normální 6" xfId="6"/>
    <cellStyle name="Normální 7" xfId="7"/>
    <cellStyle name="Normální 8" xfId="8"/>
    <cellStyle name="Normální 9" xfId="9"/>
    <cellStyle name="normální_kultura2-upravené priority-3" xfId="10"/>
    <cellStyle name="normální_Sešit1" xfId="11"/>
  </cellStyles>
  <dxfs count="0"/>
  <tableStyles count="0" defaultTableStyle="TableStyleMedium2" defaultPivotStyle="PivotStyleLight16"/>
  <colors>
    <mruColors>
      <color rgb="FFFF330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R74"/>
  <sheetViews>
    <sheetView tabSelected="1" zoomScaleNormal="100" zoomScaleSheetLayoutView="100" workbookViewId="0">
      <selection activeCell="H4" sqref="H4"/>
    </sheetView>
  </sheetViews>
  <sheetFormatPr defaultRowHeight="15" x14ac:dyDescent="0.25"/>
  <cols>
    <col min="1" max="1" width="1.5703125" customWidth="1"/>
    <col min="2" max="2" width="6.7109375" customWidth="1"/>
    <col min="3" max="3" width="9.140625" customWidth="1"/>
    <col min="4" max="4" width="38.5703125" customWidth="1"/>
    <col min="5" max="5" width="63.7109375" customWidth="1"/>
    <col min="6" max="6" width="17.7109375" customWidth="1"/>
    <col min="7" max="8" width="16.28515625" customWidth="1"/>
    <col min="9" max="35" width="16.28515625" hidden="1" customWidth="1"/>
    <col min="36" max="36" width="17.140625" hidden="1" customWidth="1"/>
    <col min="37" max="37" width="17.85546875" hidden="1" customWidth="1"/>
    <col min="38" max="38" width="19.42578125" hidden="1" customWidth="1"/>
    <col min="39" max="39" width="17.42578125" hidden="1" customWidth="1"/>
    <col min="40" max="40" width="15.140625" hidden="1" customWidth="1"/>
    <col min="41" max="41" width="17.42578125" customWidth="1"/>
    <col min="42" max="42" width="19.7109375" customWidth="1"/>
    <col min="44" max="44" width="18.85546875" customWidth="1"/>
  </cols>
  <sheetData>
    <row r="1" spans="2:42" ht="19.5" thickBot="1" x14ac:dyDescent="0.35">
      <c r="B1" s="171" t="s">
        <v>38</v>
      </c>
      <c r="C1" s="171"/>
      <c r="D1" s="171"/>
      <c r="E1" s="171"/>
      <c r="F1" s="171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  <c r="AL1" s="54"/>
      <c r="AM1" s="54"/>
      <c r="AN1" s="54"/>
      <c r="AO1" s="54"/>
      <c r="AP1" s="1" t="s">
        <v>30</v>
      </c>
    </row>
    <row r="2" spans="2:42" ht="15.75" customHeight="1" thickTop="1" x14ac:dyDescent="0.25">
      <c r="B2" s="177" t="s">
        <v>5</v>
      </c>
      <c r="C2" s="161" t="s">
        <v>0</v>
      </c>
      <c r="D2" s="181" t="s">
        <v>112</v>
      </c>
      <c r="E2" s="161" t="s">
        <v>1</v>
      </c>
      <c r="F2" s="179" t="s">
        <v>36</v>
      </c>
      <c r="G2" s="159" t="s">
        <v>28</v>
      </c>
      <c r="H2" s="159" t="s">
        <v>150</v>
      </c>
      <c r="I2" s="159" t="s">
        <v>148</v>
      </c>
      <c r="J2" s="159" t="s">
        <v>147</v>
      </c>
      <c r="K2" s="159" t="s">
        <v>146</v>
      </c>
      <c r="L2" s="159" t="s">
        <v>145</v>
      </c>
      <c r="M2" s="159" t="s">
        <v>144</v>
      </c>
      <c r="N2" s="159" t="s">
        <v>143</v>
      </c>
      <c r="O2" s="159" t="s">
        <v>142</v>
      </c>
      <c r="P2" s="159" t="s">
        <v>141</v>
      </c>
      <c r="Q2" s="159" t="s">
        <v>136</v>
      </c>
      <c r="R2" s="159" t="s">
        <v>133</v>
      </c>
      <c r="S2" s="159" t="s">
        <v>140</v>
      </c>
      <c r="T2" s="159" t="s">
        <v>130</v>
      </c>
      <c r="U2" s="159" t="s">
        <v>109</v>
      </c>
      <c r="V2" s="159" t="s">
        <v>103</v>
      </c>
      <c r="W2" s="159" t="s">
        <v>102</v>
      </c>
      <c r="X2" s="159" t="s">
        <v>98</v>
      </c>
      <c r="Y2" s="159" t="s">
        <v>90</v>
      </c>
      <c r="Z2" s="159" t="s">
        <v>85</v>
      </c>
      <c r="AA2" s="159" t="s">
        <v>79</v>
      </c>
      <c r="AB2" s="159" t="s">
        <v>78</v>
      </c>
      <c r="AC2" s="159" t="s">
        <v>71</v>
      </c>
      <c r="AD2" s="159" t="s">
        <v>58</v>
      </c>
      <c r="AE2" s="159" t="s">
        <v>56</v>
      </c>
      <c r="AF2" s="159" t="s">
        <v>55</v>
      </c>
      <c r="AG2" s="159" t="s">
        <v>47</v>
      </c>
      <c r="AH2" s="159" t="s">
        <v>41</v>
      </c>
      <c r="AI2" s="159" t="s">
        <v>57</v>
      </c>
      <c r="AJ2" s="159" t="s">
        <v>42</v>
      </c>
      <c r="AK2" s="159" t="s">
        <v>43</v>
      </c>
      <c r="AL2" s="159" t="s">
        <v>44</v>
      </c>
      <c r="AM2" s="159" t="s">
        <v>45</v>
      </c>
      <c r="AN2" s="159" t="s">
        <v>46</v>
      </c>
      <c r="AO2" s="159" t="s">
        <v>50</v>
      </c>
      <c r="AP2" s="167" t="s">
        <v>27</v>
      </c>
    </row>
    <row r="3" spans="2:42" ht="48.75" customHeight="1" thickBot="1" x14ac:dyDescent="0.3">
      <c r="B3" s="178"/>
      <c r="C3" s="162"/>
      <c r="D3" s="182"/>
      <c r="E3" s="162"/>
      <c r="F3" s="180"/>
      <c r="G3" s="160"/>
      <c r="H3" s="160"/>
      <c r="I3" s="160"/>
      <c r="J3" s="160"/>
      <c r="K3" s="160"/>
      <c r="L3" s="160"/>
      <c r="M3" s="160"/>
      <c r="N3" s="160"/>
      <c r="O3" s="160"/>
      <c r="P3" s="160"/>
      <c r="Q3" s="160"/>
      <c r="R3" s="160"/>
      <c r="S3" s="160"/>
      <c r="T3" s="160"/>
      <c r="U3" s="160"/>
      <c r="V3" s="160"/>
      <c r="W3" s="160"/>
      <c r="X3" s="160"/>
      <c r="Y3" s="160"/>
      <c r="Z3" s="160"/>
      <c r="AA3" s="160"/>
      <c r="AB3" s="160"/>
      <c r="AC3" s="160"/>
      <c r="AD3" s="160"/>
      <c r="AE3" s="160"/>
      <c r="AF3" s="160"/>
      <c r="AG3" s="160"/>
      <c r="AH3" s="160"/>
      <c r="AI3" s="160"/>
      <c r="AJ3" s="160"/>
      <c r="AK3" s="160"/>
      <c r="AL3" s="160"/>
      <c r="AM3" s="160"/>
      <c r="AN3" s="160"/>
      <c r="AO3" s="160"/>
      <c r="AP3" s="168"/>
    </row>
    <row r="4" spans="2:42" ht="16.5" thickTop="1" x14ac:dyDescent="0.25">
      <c r="B4" s="55">
        <v>50</v>
      </c>
      <c r="C4" s="56">
        <v>100915</v>
      </c>
      <c r="D4" s="106" t="s">
        <v>113</v>
      </c>
      <c r="E4" s="57" t="s">
        <v>31</v>
      </c>
      <c r="F4" s="58">
        <v>100827566.23</v>
      </c>
      <c r="G4" s="58">
        <f>SUM(H4:AN4)</f>
        <v>84555493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>
        <v>50732493</v>
      </c>
      <c r="AM4" s="58"/>
      <c r="AN4" s="58">
        <v>33823000</v>
      </c>
      <c r="AO4" s="58">
        <f>35722939.54+48832553.46</f>
        <v>84555493</v>
      </c>
      <c r="AP4" s="59">
        <f>G4-AO4</f>
        <v>0</v>
      </c>
    </row>
    <row r="5" spans="2:42" ht="15" customHeight="1" x14ac:dyDescent="0.25">
      <c r="B5" s="60">
        <v>52</v>
      </c>
      <c r="C5" s="61">
        <v>101080</v>
      </c>
      <c r="D5" s="107" t="s">
        <v>113</v>
      </c>
      <c r="E5" s="62" t="s">
        <v>29</v>
      </c>
      <c r="F5" s="63">
        <v>43111962.899999999</v>
      </c>
      <c r="G5" s="63">
        <f>SUM(H5:AN5)</f>
        <v>41213144.700000003</v>
      </c>
      <c r="H5" s="63">
        <v>1702469.7</v>
      </c>
      <c r="I5" s="63">
        <v>7770828.5999999996</v>
      </c>
      <c r="J5" s="63">
        <v>6447632.4000000004</v>
      </c>
      <c r="K5" s="63"/>
      <c r="L5" s="63"/>
      <c r="M5" s="63">
        <v>2502369.9</v>
      </c>
      <c r="N5" s="63">
        <f>4737.6+1289053.8</f>
        <v>1293791.4000000001</v>
      </c>
      <c r="O5" s="63"/>
      <c r="P5" s="63">
        <v>2913213.6</v>
      </c>
      <c r="Q5" s="63">
        <v>4737.6000000000004</v>
      </c>
      <c r="R5" s="63">
        <f>1379180.7</f>
        <v>1379180.7</v>
      </c>
      <c r="S5" s="63">
        <v>4737.6000000000004</v>
      </c>
      <c r="T5" s="63">
        <f>452513.7+1498386.6+4737.6-1800</f>
        <v>1953837.9000000001</v>
      </c>
      <c r="U5" s="63"/>
      <c r="V5" s="63">
        <v>572472</v>
      </c>
      <c r="W5" s="63">
        <v>4737.6000000000004</v>
      </c>
      <c r="X5" s="63">
        <f>4737.6+1599051.6+928194.3</f>
        <v>2531983.5</v>
      </c>
      <c r="Y5" s="63"/>
      <c r="Z5" s="63">
        <v>2691313.2</v>
      </c>
      <c r="AA5" s="63">
        <f>548022.6+827964.9</f>
        <v>1375987.5</v>
      </c>
      <c r="AB5" s="63">
        <f>112455+4737.6</f>
        <v>117192.6</v>
      </c>
      <c r="AC5" s="63">
        <f>4737.6+548435.7</f>
        <v>553173.29999999993</v>
      </c>
      <c r="AD5" s="63">
        <v>3202485.6</v>
      </c>
      <c r="AE5" s="63"/>
      <c r="AF5" s="63"/>
      <c r="AG5" s="63"/>
      <c r="AH5" s="63"/>
      <c r="AI5" s="63"/>
      <c r="AJ5" s="63"/>
      <c r="AK5" s="63"/>
      <c r="AL5" s="63"/>
      <c r="AM5" s="63"/>
      <c r="AN5" s="63">
        <f>15037000-7315000-431000-3100000</f>
        <v>4191000</v>
      </c>
      <c r="AO5" s="63">
        <f>4552634.85+5719945.5</f>
        <v>10272580.35</v>
      </c>
      <c r="AP5" s="64">
        <f>G5-AO5</f>
        <v>30940564.350000001</v>
      </c>
    </row>
    <row r="6" spans="2:42" ht="15.75" x14ac:dyDescent="0.25">
      <c r="B6" s="60">
        <v>12</v>
      </c>
      <c r="C6" s="61">
        <v>1600</v>
      </c>
      <c r="D6" s="107" t="s">
        <v>114</v>
      </c>
      <c r="E6" s="62" t="s">
        <v>32</v>
      </c>
      <c r="F6" s="63">
        <v>164072363.22</v>
      </c>
      <c r="G6" s="63">
        <f>SUM(H6:AN6)</f>
        <v>96630272.139999986</v>
      </c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3">
        <v>11479091.68</v>
      </c>
      <c r="AA6" s="63">
        <v>3572543.77</v>
      </c>
      <c r="AB6" s="63"/>
      <c r="AC6" s="63"/>
      <c r="AD6" s="63">
        <v>483066.76</v>
      </c>
      <c r="AE6" s="63"/>
      <c r="AF6" s="63"/>
      <c r="AG6" s="63">
        <v>13541731.43</v>
      </c>
      <c r="AH6" s="63"/>
      <c r="AI6" s="63">
        <v>12413444.029999999</v>
      </c>
      <c r="AJ6" s="63">
        <f>27436365.11-6090000-3100000</f>
        <v>18246365.109999999</v>
      </c>
      <c r="AK6" s="63">
        <v>15658817.550000001</v>
      </c>
      <c r="AL6" s="63">
        <v>8315262.8799999999</v>
      </c>
      <c r="AM6" s="63">
        <f>3729948.93+6090000</f>
        <v>9819948.9299999997</v>
      </c>
      <c r="AN6" s="63">
        <f>3100000</f>
        <v>3100000</v>
      </c>
      <c r="AO6" s="63">
        <f>81578636.71+15051635.43</f>
        <v>96630272.139999986</v>
      </c>
      <c r="AP6" s="64">
        <f>G6-AO6</f>
        <v>0</v>
      </c>
    </row>
    <row r="7" spans="2:42" ht="15.75" x14ac:dyDescent="0.25">
      <c r="B7" s="60">
        <v>12</v>
      </c>
      <c r="C7" s="61">
        <v>1600</v>
      </c>
      <c r="D7" s="107" t="s">
        <v>114</v>
      </c>
      <c r="E7" s="62" t="s">
        <v>33</v>
      </c>
      <c r="F7" s="63">
        <v>25919753.140000001</v>
      </c>
      <c r="G7" s="63">
        <f t="shared" ref="G7:G27" si="0">SUM(H7:AN7)</f>
        <v>19126970.75</v>
      </c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3">
        <v>4049994.74</v>
      </c>
      <c r="AA7" s="63">
        <v>4356</v>
      </c>
      <c r="AB7" s="63"/>
      <c r="AC7" s="63"/>
      <c r="AD7" s="63"/>
      <c r="AE7" s="63"/>
      <c r="AF7" s="63"/>
      <c r="AG7" s="63"/>
      <c r="AH7" s="63">
        <v>3237175.44</v>
      </c>
      <c r="AI7" s="63">
        <v>6991149.0999999996</v>
      </c>
      <c r="AJ7" s="63">
        <v>4356</v>
      </c>
      <c r="AK7" s="63">
        <v>3816000.31</v>
      </c>
      <c r="AL7" s="63">
        <v>806397.55</v>
      </c>
      <c r="AM7" s="63">
        <v>217541.61</v>
      </c>
      <c r="AN7" s="63"/>
      <c r="AO7" s="63">
        <f>19030302.01+96668.74</f>
        <v>19126970.75</v>
      </c>
      <c r="AP7" s="64">
        <f t="shared" ref="AP7:AP14" si="1">G7-AO7</f>
        <v>0</v>
      </c>
    </row>
    <row r="8" spans="2:42" ht="31.5" x14ac:dyDescent="0.25">
      <c r="B8" s="60">
        <v>52</v>
      </c>
      <c r="C8" s="61">
        <v>100768</v>
      </c>
      <c r="D8" s="107" t="s">
        <v>113</v>
      </c>
      <c r="E8" s="62" t="s">
        <v>34</v>
      </c>
      <c r="F8" s="63">
        <v>56075578.880000003</v>
      </c>
      <c r="G8" s="63">
        <f t="shared" si="0"/>
        <v>17275435.060000002</v>
      </c>
      <c r="H8" s="63"/>
      <c r="I8" s="63">
        <v>76251.210000000006</v>
      </c>
      <c r="J8" s="63"/>
      <c r="K8" s="63"/>
      <c r="L8" s="63"/>
      <c r="M8" s="63">
        <f>507947.98+1656</f>
        <v>509603.98</v>
      </c>
      <c r="N8" s="63">
        <f>2070+1063610.67</f>
        <v>1065680.67</v>
      </c>
      <c r="O8" s="63"/>
      <c r="P8" s="63">
        <f>1656+966679.23</f>
        <v>968335.23</v>
      </c>
      <c r="Q8" s="63"/>
      <c r="R8" s="63">
        <v>1107780.25</v>
      </c>
      <c r="S8" s="63"/>
      <c r="T8" s="63">
        <f>2015046.92+3726</f>
        <v>2018772.92</v>
      </c>
      <c r="U8" s="63"/>
      <c r="V8" s="63"/>
      <c r="W8" s="63">
        <v>2194943.2000000002</v>
      </c>
      <c r="X8" s="63">
        <f>2898+2584201.21</f>
        <v>2587099.21</v>
      </c>
      <c r="Y8" s="63"/>
      <c r="Z8" s="63">
        <v>1717251.88</v>
      </c>
      <c r="AA8" s="63">
        <v>6012</v>
      </c>
      <c r="AB8" s="63">
        <v>1911435.95</v>
      </c>
      <c r="AC8" s="63">
        <f>1822719.58+107218.8-53669.82</f>
        <v>1876268.56</v>
      </c>
      <c r="AD8" s="63"/>
      <c r="AE8" s="63"/>
      <c r="AF8" s="63"/>
      <c r="AG8" s="63"/>
      <c r="AH8" s="63"/>
      <c r="AI8" s="63"/>
      <c r="AJ8" s="63"/>
      <c r="AK8" s="63"/>
      <c r="AL8" s="63"/>
      <c r="AM8" s="63">
        <f>7326000-6090000</f>
        <v>1236000</v>
      </c>
      <c r="AN8" s="63"/>
      <c r="AO8" s="63">
        <v>11457582.300000001</v>
      </c>
      <c r="AP8" s="64">
        <f t="shared" si="1"/>
        <v>5817852.7600000016</v>
      </c>
    </row>
    <row r="9" spans="2:42" s="113" customFormat="1" ht="22.5" customHeight="1" x14ac:dyDescent="0.25">
      <c r="B9" s="60">
        <v>52</v>
      </c>
      <c r="C9" s="61">
        <v>101011</v>
      </c>
      <c r="D9" s="107" t="s">
        <v>113</v>
      </c>
      <c r="E9" s="62" t="s">
        <v>35</v>
      </c>
      <c r="F9" s="63">
        <v>106577847.90000001</v>
      </c>
      <c r="G9" s="63">
        <f t="shared" si="0"/>
        <v>100070316.23999999</v>
      </c>
      <c r="H9" s="63"/>
      <c r="I9" s="63"/>
      <c r="J9" s="63">
        <v>877571.1</v>
      </c>
      <c r="K9" s="63"/>
      <c r="L9" s="63"/>
      <c r="M9" s="63">
        <v>87120</v>
      </c>
      <c r="N9" s="63"/>
      <c r="O9" s="63"/>
      <c r="P9" s="63">
        <v>2920189.5</v>
      </c>
      <c r="Q9" s="63"/>
      <c r="R9" s="63"/>
      <c r="S9" s="63">
        <v>19602</v>
      </c>
      <c r="T9" s="63">
        <v>3430.35</v>
      </c>
      <c r="U9" s="63"/>
      <c r="V9" s="63">
        <f>64251+3920.4+8253856.25+455873.15</f>
        <v>8777900.8000000007</v>
      </c>
      <c r="W9" s="63">
        <v>37570.5</v>
      </c>
      <c r="X9" s="63">
        <f>19057.5+21562.2+277140.63+17480024.21</f>
        <v>17797784.539999999</v>
      </c>
      <c r="Y9" s="63">
        <f>19057.5+2327600.29+14532950.21</f>
        <v>16879608</v>
      </c>
      <c r="Z9" s="63">
        <v>7350.75</v>
      </c>
      <c r="AA9" s="63">
        <v>8820.9</v>
      </c>
      <c r="AB9" s="63">
        <f>19057.5+11037194.45</f>
        <v>11056251.949999999</v>
      </c>
      <c r="AC9" s="63">
        <f>4465625.29-155311.38</f>
        <v>4310313.91</v>
      </c>
      <c r="AD9" s="63"/>
      <c r="AE9" s="63"/>
      <c r="AF9" s="63">
        <v>4410.46</v>
      </c>
      <c r="AG9" s="63"/>
      <c r="AH9" s="63"/>
      <c r="AI9" s="63">
        <v>11162291.48</v>
      </c>
      <c r="AJ9" s="63"/>
      <c r="AK9" s="63"/>
      <c r="AL9" s="63"/>
      <c r="AM9" s="63">
        <v>26120100</v>
      </c>
      <c r="AN9" s="63"/>
      <c r="AO9" s="63">
        <f>37054247.85+58394383.68+52304.59</f>
        <v>95500936.120000005</v>
      </c>
      <c r="AP9" s="64">
        <f t="shared" si="1"/>
        <v>4569380.1199999899</v>
      </c>
    </row>
    <row r="10" spans="2:42" ht="22.5" customHeight="1" x14ac:dyDescent="0.25">
      <c r="B10" s="60">
        <v>50</v>
      </c>
      <c r="C10" s="61">
        <v>100913</v>
      </c>
      <c r="D10" s="107" t="s">
        <v>113</v>
      </c>
      <c r="E10" s="62" t="s">
        <v>37</v>
      </c>
      <c r="F10" s="63">
        <v>186867763.41</v>
      </c>
      <c r="G10" s="63">
        <f t="shared" si="0"/>
        <v>167680109.72</v>
      </c>
      <c r="H10" s="63"/>
      <c r="I10" s="63">
        <v>43560</v>
      </c>
      <c r="J10" s="63"/>
      <c r="K10" s="63">
        <f>8561899.75+30492</f>
        <v>8592391.75</v>
      </c>
      <c r="L10" s="63"/>
      <c r="M10" s="63"/>
      <c r="N10" s="63">
        <f>54450+9583.2</f>
        <v>64033.2</v>
      </c>
      <c r="O10" s="63"/>
      <c r="P10" s="63">
        <f>9583.2+76948.74</f>
        <v>86531.94</v>
      </c>
      <c r="Q10" s="63"/>
      <c r="R10" s="63">
        <f>9583.2+90495.9+578002.21+3650994.62</f>
        <v>4329075.93</v>
      </c>
      <c r="S10" s="63">
        <f>9583.2+98010+9249431.23</f>
        <v>9357024.4299999997</v>
      </c>
      <c r="T10" s="63"/>
      <c r="U10" s="63"/>
      <c r="V10" s="63">
        <f>98010+9583.2</f>
        <v>107593.2</v>
      </c>
      <c r="W10" s="63">
        <v>15743425.52</v>
      </c>
      <c r="X10" s="63">
        <f>30511556.7+9583.2+98010</f>
        <v>30619149.899999999</v>
      </c>
      <c r="Y10" s="63">
        <f>98010+9583.2</f>
        <v>107593.2</v>
      </c>
      <c r="Z10" s="63">
        <v>24281840.899999999</v>
      </c>
      <c r="AA10" s="63">
        <f>9583.2+114345</f>
        <v>123928.2</v>
      </c>
      <c r="AB10" s="63">
        <f>38136570.76</f>
        <v>38136570.759999998</v>
      </c>
      <c r="AC10" s="63">
        <f>30293637.38+1781978.67+9583.2-3743808.46</f>
        <v>28341390.789999995</v>
      </c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>
        <f>7315000+431000</f>
        <v>7746000</v>
      </c>
      <c r="AO10" s="63">
        <f>74347889.73+70745257.71</f>
        <v>145093147.44</v>
      </c>
      <c r="AP10" s="64">
        <f t="shared" si="1"/>
        <v>22586962.280000001</v>
      </c>
    </row>
    <row r="11" spans="2:42" ht="31.5" x14ac:dyDescent="0.25">
      <c r="B11" s="60">
        <v>52</v>
      </c>
      <c r="C11" s="61">
        <v>100876</v>
      </c>
      <c r="D11" s="107" t="s">
        <v>113</v>
      </c>
      <c r="E11" s="62" t="s">
        <v>39</v>
      </c>
      <c r="F11" s="63">
        <v>14059857.4</v>
      </c>
      <c r="G11" s="63">
        <f t="shared" si="0"/>
        <v>13722977.4</v>
      </c>
      <c r="H11" s="63"/>
      <c r="I11" s="63"/>
      <c r="J11" s="63"/>
      <c r="K11" s="63"/>
      <c r="L11" s="63"/>
      <c r="M11" s="63"/>
      <c r="N11" s="63"/>
      <c r="O11" s="63"/>
      <c r="P11" s="63">
        <f>1329721.2-315947</f>
        <v>1013774.2</v>
      </c>
      <c r="Q11" s="63"/>
      <c r="R11" s="63">
        <v>1473884.4</v>
      </c>
      <c r="S11" s="63">
        <f>1734724+7744</f>
        <v>1742468</v>
      </c>
      <c r="T11" s="63">
        <v>7744</v>
      </c>
      <c r="U11" s="63"/>
      <c r="V11" s="63">
        <v>2289465.2000000002</v>
      </c>
      <c r="W11" s="63">
        <v>7744</v>
      </c>
      <c r="X11" s="63">
        <v>7744</v>
      </c>
      <c r="Y11" s="63"/>
      <c r="Z11" s="63">
        <f>7744+2944941.6</f>
        <v>2952685.6</v>
      </c>
      <c r="AA11" s="63">
        <f>1001767.6</f>
        <v>1001767.6</v>
      </c>
      <c r="AB11" s="63">
        <v>7744</v>
      </c>
      <c r="AC11" s="63"/>
      <c r="AD11" s="63">
        <v>7744</v>
      </c>
      <c r="AE11" s="63">
        <f>827852.4+7744</f>
        <v>835596.4</v>
      </c>
      <c r="AF11" s="63"/>
      <c r="AG11" s="63">
        <f>7744+2359128</f>
        <v>2366872</v>
      </c>
      <c r="AH11" s="63">
        <v>7744</v>
      </c>
      <c r="AI11" s="63"/>
      <c r="AJ11" s="63"/>
      <c r="AK11" s="63"/>
      <c r="AL11" s="63"/>
      <c r="AM11" s="63"/>
      <c r="AN11" s="63"/>
      <c r="AO11" s="63">
        <f>7478737.2+6244240.2</f>
        <v>13722977.4</v>
      </c>
      <c r="AP11" s="64">
        <f t="shared" si="1"/>
        <v>0</v>
      </c>
    </row>
    <row r="12" spans="2:42" ht="78.75" x14ac:dyDescent="0.25">
      <c r="B12" s="65">
        <v>19</v>
      </c>
      <c r="C12" s="66">
        <v>1160</v>
      </c>
      <c r="D12" s="104" t="s">
        <v>115</v>
      </c>
      <c r="E12" s="67" t="s">
        <v>73</v>
      </c>
      <c r="F12" s="68">
        <v>3033505.38</v>
      </c>
      <c r="G12" s="63">
        <f t="shared" si="0"/>
        <v>963699.3</v>
      </c>
      <c r="H12" s="147"/>
      <c r="I12" s="145"/>
      <c r="J12" s="144"/>
      <c r="K12" s="143"/>
      <c r="L12" s="142"/>
      <c r="M12" s="140"/>
      <c r="N12" s="139"/>
      <c r="O12" s="135"/>
      <c r="P12" s="134"/>
      <c r="Q12" s="124"/>
      <c r="R12" s="123"/>
      <c r="S12" s="115"/>
      <c r="T12" s="103"/>
      <c r="U12" s="99"/>
      <c r="V12" s="68"/>
      <c r="W12" s="68"/>
      <c r="X12" s="68"/>
      <c r="Y12" s="68"/>
      <c r="Z12" s="68"/>
      <c r="AA12" s="68"/>
      <c r="AB12" s="68">
        <v>457598.7</v>
      </c>
      <c r="AC12" s="68"/>
      <c r="AD12" s="68"/>
      <c r="AE12" s="68"/>
      <c r="AF12" s="68"/>
      <c r="AG12" s="68">
        <v>506100.6</v>
      </c>
      <c r="AH12" s="68"/>
      <c r="AI12" s="68"/>
      <c r="AJ12" s="68"/>
      <c r="AK12" s="68"/>
      <c r="AL12" s="68"/>
      <c r="AM12" s="68"/>
      <c r="AN12" s="68"/>
      <c r="AO12" s="68">
        <v>963699.3</v>
      </c>
      <c r="AP12" s="69">
        <f t="shared" si="1"/>
        <v>0</v>
      </c>
    </row>
    <row r="13" spans="2:42" ht="31.5" x14ac:dyDescent="0.25">
      <c r="B13" s="60">
        <v>52</v>
      </c>
      <c r="C13" s="61">
        <v>101131</v>
      </c>
      <c r="D13" s="107" t="s">
        <v>113</v>
      </c>
      <c r="E13" s="62" t="s">
        <v>48</v>
      </c>
      <c r="F13" s="63">
        <v>6600154.5</v>
      </c>
      <c r="G13" s="63">
        <f t="shared" si="0"/>
        <v>6539180.0099999998</v>
      </c>
      <c r="H13" s="147"/>
      <c r="I13" s="145"/>
      <c r="J13" s="144"/>
      <c r="K13" s="143"/>
      <c r="L13" s="142"/>
      <c r="M13" s="140"/>
      <c r="N13" s="139"/>
      <c r="O13" s="137"/>
      <c r="P13" s="134">
        <f>28800+1311015.47</f>
        <v>1339815.47</v>
      </c>
      <c r="Q13" s="124"/>
      <c r="R13" s="123">
        <f>203530.93+19781.95</f>
        <v>223312.88</v>
      </c>
      <c r="S13" s="115">
        <v>377099.51</v>
      </c>
      <c r="T13" s="103">
        <f>18770+960081.76</f>
        <v>978851.76</v>
      </c>
      <c r="U13" s="99"/>
      <c r="V13" s="68">
        <f>1818431.56+28800</f>
        <v>1847231.56</v>
      </c>
      <c r="W13" s="68"/>
      <c r="X13" s="68">
        <v>1534698.28</v>
      </c>
      <c r="Y13" s="68">
        <v>226408.02</v>
      </c>
      <c r="Z13" s="68"/>
      <c r="AA13" s="68"/>
      <c r="AB13" s="68"/>
      <c r="AC13" s="68"/>
      <c r="AD13" s="68"/>
      <c r="AE13" s="68"/>
      <c r="AF13" s="63">
        <v>11762.53</v>
      </c>
      <c r="AG13" s="63"/>
      <c r="AH13" s="63"/>
      <c r="AI13" s="63"/>
      <c r="AJ13" s="63"/>
      <c r="AK13" s="63"/>
      <c r="AL13" s="63"/>
      <c r="AM13" s="63"/>
      <c r="AN13" s="63"/>
      <c r="AO13" s="63">
        <v>1638374.03</v>
      </c>
      <c r="AP13" s="69">
        <f t="shared" si="1"/>
        <v>4900805.9799999995</v>
      </c>
    </row>
    <row r="14" spans="2:42" ht="31.5" customHeight="1" x14ac:dyDescent="0.25">
      <c r="B14" s="65">
        <v>52</v>
      </c>
      <c r="C14" s="66">
        <v>101256</v>
      </c>
      <c r="D14" s="107" t="s">
        <v>113</v>
      </c>
      <c r="E14" s="67" t="s">
        <v>49</v>
      </c>
      <c r="F14" s="68">
        <v>655578</v>
      </c>
      <c r="G14" s="63">
        <f t="shared" si="0"/>
        <v>655578</v>
      </c>
      <c r="H14" s="147"/>
      <c r="I14" s="145"/>
      <c r="J14" s="144"/>
      <c r="K14" s="143"/>
      <c r="L14" s="142"/>
      <c r="M14" s="140"/>
      <c r="N14" s="139"/>
      <c r="O14" s="137"/>
      <c r="P14" s="134"/>
      <c r="Q14" s="124"/>
      <c r="R14" s="123"/>
      <c r="S14" s="115"/>
      <c r="T14" s="103"/>
      <c r="U14" s="99"/>
      <c r="V14" s="68"/>
      <c r="W14" s="68"/>
      <c r="X14" s="68">
        <f>1036620.14-382246.14</f>
        <v>654374</v>
      </c>
      <c r="Y14" s="68"/>
      <c r="Z14" s="68"/>
      <c r="AA14" s="68"/>
      <c r="AB14" s="68"/>
      <c r="AC14" s="68"/>
      <c r="AD14" s="68"/>
      <c r="AE14" s="68"/>
      <c r="AF14" s="68">
        <v>1204</v>
      </c>
      <c r="AG14" s="68"/>
      <c r="AH14" s="68"/>
      <c r="AI14" s="68"/>
      <c r="AJ14" s="68"/>
      <c r="AK14" s="68"/>
      <c r="AL14" s="68"/>
      <c r="AM14" s="68"/>
      <c r="AN14" s="68"/>
      <c r="AO14" s="68"/>
      <c r="AP14" s="69">
        <f t="shared" si="1"/>
        <v>655578</v>
      </c>
    </row>
    <row r="15" spans="2:42" ht="15.75" x14ac:dyDescent="0.25">
      <c r="B15" s="65">
        <v>52</v>
      </c>
      <c r="C15" s="66">
        <v>101019</v>
      </c>
      <c r="D15" s="107" t="s">
        <v>113</v>
      </c>
      <c r="E15" s="67" t="s">
        <v>51</v>
      </c>
      <c r="F15" s="68">
        <v>4174276</v>
      </c>
      <c r="G15" s="63">
        <f>SUM(H15:AN15)</f>
        <v>3317053.54</v>
      </c>
      <c r="H15" s="147">
        <v>12100</v>
      </c>
      <c r="I15" s="145">
        <v>1602054.33</v>
      </c>
      <c r="J15" s="144">
        <v>6050</v>
      </c>
      <c r="K15" s="143"/>
      <c r="L15" s="142"/>
      <c r="M15" s="140">
        <v>9680</v>
      </c>
      <c r="N15" s="139">
        <f>1635139.21+15730</f>
        <v>1650869.21</v>
      </c>
      <c r="O15" s="137"/>
      <c r="P15" s="134"/>
      <c r="Q15" s="124"/>
      <c r="R15" s="123"/>
      <c r="S15" s="115"/>
      <c r="T15" s="103"/>
      <c r="U15" s="99">
        <v>21780</v>
      </c>
      <c r="V15" s="68"/>
      <c r="W15" s="68"/>
      <c r="X15" s="68"/>
      <c r="Y15" s="68"/>
      <c r="Z15" s="68"/>
      <c r="AA15" s="68"/>
      <c r="AB15" s="68"/>
      <c r="AC15" s="68"/>
      <c r="AD15" s="68"/>
      <c r="AE15" s="68">
        <v>14520</v>
      </c>
      <c r="AF15" s="68"/>
      <c r="AG15" s="68"/>
      <c r="AH15" s="68"/>
      <c r="AI15" s="68"/>
      <c r="AJ15" s="68"/>
      <c r="AK15" s="68"/>
      <c r="AL15" s="68"/>
      <c r="AM15" s="68"/>
      <c r="AN15" s="68"/>
      <c r="AO15" s="68"/>
      <c r="AP15" s="69">
        <f>G15-AO15</f>
        <v>3317053.54</v>
      </c>
    </row>
    <row r="16" spans="2:42" ht="31.5" x14ac:dyDescent="0.25">
      <c r="B16" s="60">
        <v>52</v>
      </c>
      <c r="C16" s="61">
        <v>101141</v>
      </c>
      <c r="D16" s="107" t="s">
        <v>113</v>
      </c>
      <c r="E16" s="62" t="s">
        <v>52</v>
      </c>
      <c r="F16" s="63">
        <v>5837078.4000000004</v>
      </c>
      <c r="G16" s="63">
        <f t="shared" si="0"/>
        <v>5706275.9699999997</v>
      </c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>
        <v>1281249.6499999999</v>
      </c>
      <c r="U16" s="63"/>
      <c r="V16" s="63"/>
      <c r="W16" s="63">
        <f>3840+1728282.44</f>
        <v>1732122.44</v>
      </c>
      <c r="X16" s="63">
        <f>3840+1685476.96+168136.57</f>
        <v>1857453.53</v>
      </c>
      <c r="Y16" s="63"/>
      <c r="Z16" s="63">
        <f>5760+800650.35</f>
        <v>806410.35</v>
      </c>
      <c r="AA16" s="63">
        <v>17424</v>
      </c>
      <c r="AB16" s="63"/>
      <c r="AC16" s="63"/>
      <c r="AD16" s="63"/>
      <c r="AE16" s="63">
        <v>11616</v>
      </c>
      <c r="AF16" s="63"/>
      <c r="AG16" s="63"/>
      <c r="AH16" s="63"/>
      <c r="AI16" s="63"/>
      <c r="AJ16" s="63"/>
      <c r="AK16" s="63"/>
      <c r="AL16" s="63"/>
      <c r="AM16" s="63"/>
      <c r="AN16" s="63"/>
      <c r="AO16" s="63">
        <f>2232246.52+2475571.08</f>
        <v>4707817.5999999996</v>
      </c>
      <c r="AP16" s="69">
        <f t="shared" ref="AP16:AP18" si="2">G16-AO16</f>
        <v>998458.37000000011</v>
      </c>
    </row>
    <row r="17" spans="2:42" ht="31.5" x14ac:dyDescent="0.25">
      <c r="B17" s="60">
        <v>52</v>
      </c>
      <c r="C17" s="61">
        <v>101257</v>
      </c>
      <c r="D17" s="107" t="s">
        <v>113</v>
      </c>
      <c r="E17" s="62" t="s">
        <v>54</v>
      </c>
      <c r="F17" s="63">
        <v>677938.8</v>
      </c>
      <c r="G17" s="63">
        <f t="shared" si="0"/>
        <v>658890.65</v>
      </c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>
        <v>225034.82</v>
      </c>
      <c r="S17" s="63">
        <v>426146.03</v>
      </c>
      <c r="T17" s="63"/>
      <c r="U17" s="63"/>
      <c r="V17" s="63"/>
      <c r="W17" s="63"/>
      <c r="X17" s="63">
        <v>4625.6000000000004</v>
      </c>
      <c r="Y17" s="63"/>
      <c r="Z17" s="63"/>
      <c r="AA17" s="63"/>
      <c r="AB17" s="63"/>
      <c r="AC17" s="63"/>
      <c r="AD17" s="63"/>
      <c r="AE17" s="63">
        <v>3084.2</v>
      </c>
      <c r="AF17" s="63"/>
      <c r="AG17" s="63"/>
      <c r="AH17" s="63"/>
      <c r="AI17" s="63"/>
      <c r="AJ17" s="63"/>
      <c r="AK17" s="63"/>
      <c r="AL17" s="63"/>
      <c r="AM17" s="63"/>
      <c r="AN17" s="63"/>
      <c r="AO17" s="63"/>
      <c r="AP17" s="69">
        <f t="shared" si="2"/>
        <v>658890.65</v>
      </c>
    </row>
    <row r="18" spans="2:42" ht="31.5" x14ac:dyDescent="0.25">
      <c r="B18" s="60">
        <v>52</v>
      </c>
      <c r="C18" s="61">
        <v>101088</v>
      </c>
      <c r="D18" s="107" t="s">
        <v>113</v>
      </c>
      <c r="E18" s="62" t="s">
        <v>53</v>
      </c>
      <c r="F18" s="63">
        <v>1881943.2</v>
      </c>
      <c r="G18" s="63">
        <f t="shared" si="0"/>
        <v>1879213.2600000002</v>
      </c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>
        <v>361383.69</v>
      </c>
      <c r="S18" s="63">
        <v>1021703.67</v>
      </c>
      <c r="T18" s="63"/>
      <c r="U18" s="63"/>
      <c r="V18" s="63">
        <v>471491.5</v>
      </c>
      <c r="W18" s="63"/>
      <c r="X18" s="63">
        <v>14780.8</v>
      </c>
      <c r="Y18" s="63"/>
      <c r="Z18" s="63"/>
      <c r="AA18" s="63"/>
      <c r="AB18" s="63"/>
      <c r="AC18" s="63"/>
      <c r="AD18" s="63"/>
      <c r="AE18" s="63">
        <v>9853.6</v>
      </c>
      <c r="AF18" s="63"/>
      <c r="AG18" s="63"/>
      <c r="AH18" s="63"/>
      <c r="AI18" s="63"/>
      <c r="AJ18" s="63"/>
      <c r="AK18" s="63"/>
      <c r="AL18" s="63"/>
      <c r="AM18" s="63"/>
      <c r="AN18" s="63"/>
      <c r="AO18" s="63">
        <f>1296960.25+237519.36</f>
        <v>1534479.6099999999</v>
      </c>
      <c r="AP18" s="69">
        <f t="shared" si="2"/>
        <v>344733.65000000037</v>
      </c>
    </row>
    <row r="19" spans="2:42" ht="31.5" x14ac:dyDescent="0.25">
      <c r="B19" s="65">
        <v>19</v>
      </c>
      <c r="C19" s="66">
        <v>1128</v>
      </c>
      <c r="D19" s="104" t="s">
        <v>116</v>
      </c>
      <c r="E19" s="67" t="s">
        <v>105</v>
      </c>
      <c r="F19" s="68">
        <v>2367129.3199999998</v>
      </c>
      <c r="G19" s="63">
        <f t="shared" si="0"/>
        <v>2229947.0099999998</v>
      </c>
      <c r="H19" s="147"/>
      <c r="I19" s="145"/>
      <c r="J19" s="144"/>
      <c r="K19" s="143"/>
      <c r="L19" s="142"/>
      <c r="M19" s="140"/>
      <c r="N19" s="139"/>
      <c r="O19" s="137"/>
      <c r="P19" s="134"/>
      <c r="Q19" s="124">
        <v>1080287.99</v>
      </c>
      <c r="R19" s="123"/>
      <c r="S19" s="115">
        <v>84257.02</v>
      </c>
      <c r="T19" s="103"/>
      <c r="U19" s="99">
        <v>1045800</v>
      </c>
      <c r="V19" s="68"/>
      <c r="W19" s="68"/>
      <c r="X19" s="68"/>
      <c r="Y19" s="68"/>
      <c r="Z19" s="68"/>
      <c r="AA19" s="68"/>
      <c r="AB19" s="68"/>
      <c r="AC19" s="68"/>
      <c r="AD19" s="68"/>
      <c r="AE19" s="68">
        <v>19602</v>
      </c>
      <c r="AF19" s="68"/>
      <c r="AG19" s="68"/>
      <c r="AH19" s="68"/>
      <c r="AI19" s="68"/>
      <c r="AJ19" s="68"/>
      <c r="AK19" s="68"/>
      <c r="AL19" s="68"/>
      <c r="AM19" s="68"/>
      <c r="AN19" s="68"/>
      <c r="AO19" s="68"/>
      <c r="AP19" s="69">
        <f>G19-AO19</f>
        <v>2229947.0099999998</v>
      </c>
    </row>
    <row r="20" spans="2:42" ht="31.5" x14ac:dyDescent="0.25">
      <c r="B20" s="60">
        <v>52</v>
      </c>
      <c r="C20" s="61">
        <v>101022</v>
      </c>
      <c r="D20" s="107" t="s">
        <v>113</v>
      </c>
      <c r="E20" s="62" t="s">
        <v>59</v>
      </c>
      <c r="F20" s="63">
        <v>8717805.1999999993</v>
      </c>
      <c r="G20" s="63">
        <f t="shared" si="0"/>
        <v>1016069.16</v>
      </c>
      <c r="H20" s="147"/>
      <c r="I20" s="145"/>
      <c r="J20" s="144"/>
      <c r="K20" s="143"/>
      <c r="L20" s="142"/>
      <c r="M20" s="140"/>
      <c r="N20" s="139"/>
      <c r="O20" s="137"/>
      <c r="P20" s="134">
        <v>990490.73</v>
      </c>
      <c r="Q20" s="124"/>
      <c r="R20" s="123"/>
      <c r="S20" s="115"/>
      <c r="T20" s="103"/>
      <c r="U20" s="99"/>
      <c r="V20" s="68"/>
      <c r="W20" s="68"/>
      <c r="X20" s="68"/>
      <c r="Y20" s="68">
        <v>15347.06</v>
      </c>
      <c r="Z20" s="68"/>
      <c r="AA20" s="68"/>
      <c r="AB20" s="68"/>
      <c r="AC20" s="63">
        <v>10231.370000000001</v>
      </c>
      <c r="AD20" s="63"/>
      <c r="AE20" s="63"/>
      <c r="AF20" s="63"/>
      <c r="AG20" s="63"/>
      <c r="AH20" s="63"/>
      <c r="AI20" s="63"/>
      <c r="AJ20" s="63"/>
      <c r="AK20" s="63"/>
      <c r="AL20" s="63"/>
      <c r="AM20" s="63"/>
      <c r="AN20" s="63"/>
      <c r="AO20" s="63"/>
      <c r="AP20" s="69">
        <f t="shared" ref="AP20:AP33" si="3">G20-AO20</f>
        <v>1016069.16</v>
      </c>
    </row>
    <row r="21" spans="2:42" ht="31.5" x14ac:dyDescent="0.25">
      <c r="B21" s="65">
        <v>52</v>
      </c>
      <c r="C21" s="66">
        <v>101253</v>
      </c>
      <c r="D21" s="107" t="s">
        <v>113</v>
      </c>
      <c r="E21" s="67" t="s">
        <v>60</v>
      </c>
      <c r="F21" s="68">
        <v>7376897.5</v>
      </c>
      <c r="G21" s="63">
        <f t="shared" si="0"/>
        <v>4790978.2799999993</v>
      </c>
      <c r="H21" s="147"/>
      <c r="I21" s="145"/>
      <c r="J21" s="144"/>
      <c r="K21" s="143"/>
      <c r="L21" s="142"/>
      <c r="M21" s="140"/>
      <c r="N21" s="139"/>
      <c r="O21" s="137"/>
      <c r="P21" s="134">
        <f>26784.85+1733358.77</f>
        <v>1760143.62</v>
      </c>
      <c r="Q21" s="124"/>
      <c r="R21" s="123">
        <f>26784.85+904220.78</f>
        <v>931005.63</v>
      </c>
      <c r="S21" s="115">
        <f>2005726.49+33481.06</f>
        <v>2039207.55</v>
      </c>
      <c r="T21" s="103">
        <v>47869.05</v>
      </c>
      <c r="U21" s="99"/>
      <c r="V21" s="68"/>
      <c r="W21" s="68"/>
      <c r="X21" s="68"/>
      <c r="Y21" s="68">
        <v>7651.46</v>
      </c>
      <c r="Z21" s="68"/>
      <c r="AA21" s="68"/>
      <c r="AB21" s="68"/>
      <c r="AC21" s="68">
        <v>5100.97</v>
      </c>
      <c r="AD21" s="68"/>
      <c r="AE21" s="68"/>
      <c r="AF21" s="68"/>
      <c r="AG21" s="68"/>
      <c r="AH21" s="68"/>
      <c r="AI21" s="68"/>
      <c r="AJ21" s="68"/>
      <c r="AK21" s="68"/>
      <c r="AL21" s="68"/>
      <c r="AM21" s="68"/>
      <c r="AN21" s="68"/>
      <c r="AO21" s="68">
        <v>361806.95</v>
      </c>
      <c r="AP21" s="69">
        <f t="shared" si="3"/>
        <v>4429171.3299999991</v>
      </c>
    </row>
    <row r="22" spans="2:42" ht="31.5" x14ac:dyDescent="0.25">
      <c r="B22" s="60">
        <v>19</v>
      </c>
      <c r="C22" s="61">
        <v>1216</v>
      </c>
      <c r="D22" s="112" t="s">
        <v>117</v>
      </c>
      <c r="E22" s="62" t="s">
        <v>61</v>
      </c>
      <c r="F22" s="63">
        <v>3207794.19</v>
      </c>
      <c r="G22" s="63">
        <f t="shared" si="0"/>
        <v>1964303.0999999999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>
        <v>34135.199999999997</v>
      </c>
      <c r="T22" s="63"/>
      <c r="U22" s="63">
        <f>196510.5+1722767.4</f>
        <v>1919277.9</v>
      </c>
      <c r="V22" s="63"/>
      <c r="W22" s="63"/>
      <c r="X22" s="63"/>
      <c r="Y22" s="63"/>
      <c r="Z22" s="63"/>
      <c r="AA22" s="63"/>
      <c r="AB22" s="63"/>
      <c r="AC22" s="63">
        <v>10890</v>
      </c>
      <c r="AD22" s="63"/>
      <c r="AE22" s="63"/>
      <c r="AF22" s="63"/>
      <c r="AG22" s="63"/>
      <c r="AH22" s="63"/>
      <c r="AI22" s="63"/>
      <c r="AJ22" s="63"/>
      <c r="AK22" s="63"/>
      <c r="AL22" s="63"/>
      <c r="AM22" s="63"/>
      <c r="AN22" s="63"/>
      <c r="AO22" s="63"/>
      <c r="AP22" s="64">
        <f t="shared" si="3"/>
        <v>1964303.0999999999</v>
      </c>
    </row>
    <row r="23" spans="2:42" ht="15.75" x14ac:dyDescent="0.25">
      <c r="B23" s="65">
        <v>59</v>
      </c>
      <c r="C23" s="66">
        <v>101135</v>
      </c>
      <c r="D23" s="107" t="s">
        <v>113</v>
      </c>
      <c r="E23" s="67" t="s">
        <v>62</v>
      </c>
      <c r="F23" s="68">
        <v>25154862.300000001</v>
      </c>
      <c r="G23" s="63">
        <f t="shared" si="0"/>
        <v>1835509.5</v>
      </c>
      <c r="H23" s="147">
        <v>93109.5</v>
      </c>
      <c r="I23" s="145"/>
      <c r="J23" s="144"/>
      <c r="K23" s="143"/>
      <c r="L23" s="142"/>
      <c r="M23" s="140"/>
      <c r="N23" s="139"/>
      <c r="O23" s="137"/>
      <c r="P23" s="134"/>
      <c r="Q23" s="124"/>
      <c r="R23" s="123"/>
      <c r="S23" s="115"/>
      <c r="T23" s="103"/>
      <c r="U23" s="99"/>
      <c r="V23" s="68"/>
      <c r="W23" s="68"/>
      <c r="X23" s="68"/>
      <c r="Y23" s="68"/>
      <c r="Z23" s="68"/>
      <c r="AA23" s="68"/>
      <c r="AB23" s="68"/>
      <c r="AC23" s="68">
        <f>96800+1645600</f>
        <v>1742400</v>
      </c>
      <c r="AD23" s="68"/>
      <c r="AE23" s="68"/>
      <c r="AF23" s="68"/>
      <c r="AG23" s="68"/>
      <c r="AH23" s="68"/>
      <c r="AI23" s="68"/>
      <c r="AJ23" s="68"/>
      <c r="AK23" s="68"/>
      <c r="AL23" s="68"/>
      <c r="AM23" s="68"/>
      <c r="AN23" s="68"/>
      <c r="AO23" s="68">
        <v>1742400</v>
      </c>
      <c r="AP23" s="69">
        <f t="shared" si="3"/>
        <v>93109.5</v>
      </c>
    </row>
    <row r="24" spans="2:42" ht="15.75" x14ac:dyDescent="0.25">
      <c r="B24" s="60">
        <v>52</v>
      </c>
      <c r="C24" s="61">
        <v>101139</v>
      </c>
      <c r="D24" s="107" t="s">
        <v>113</v>
      </c>
      <c r="E24" s="62" t="s">
        <v>63</v>
      </c>
      <c r="F24" s="63">
        <v>9166485.5999999996</v>
      </c>
      <c r="G24" s="63">
        <f t="shared" si="0"/>
        <v>7342026.0299999993</v>
      </c>
      <c r="H24" s="63"/>
      <c r="I24" s="63">
        <v>473987.58</v>
      </c>
      <c r="J24" s="63">
        <v>1350327.26</v>
      </c>
      <c r="K24" s="63"/>
      <c r="L24" s="63"/>
      <c r="M24" s="63">
        <v>602805.02</v>
      </c>
      <c r="N24" s="63">
        <v>359915.87</v>
      </c>
      <c r="O24" s="63"/>
      <c r="P24" s="63">
        <f>1084855.23-6343.1</f>
        <v>1078512.1299999999</v>
      </c>
      <c r="Q24" s="63"/>
      <c r="R24" s="63">
        <v>910338.45</v>
      </c>
      <c r="S24" s="63">
        <v>293046.09999999998</v>
      </c>
      <c r="T24" s="63"/>
      <c r="U24" s="63"/>
      <c r="V24" s="63"/>
      <c r="W24" s="63"/>
      <c r="X24" s="63"/>
      <c r="Y24" s="63">
        <v>701231.24</v>
      </c>
      <c r="Z24" s="63">
        <v>1091457.3899999999</v>
      </c>
      <c r="AA24" s="63">
        <v>5092.2</v>
      </c>
      <c r="AB24" s="63">
        <v>427798.52</v>
      </c>
      <c r="AC24" s="63">
        <f>44874.59+2639.68</f>
        <v>47514.27</v>
      </c>
      <c r="AD24" s="63"/>
      <c r="AE24" s="63"/>
      <c r="AF24" s="63"/>
      <c r="AG24" s="63"/>
      <c r="AH24" s="63"/>
      <c r="AI24" s="63"/>
      <c r="AJ24" s="63"/>
      <c r="AK24" s="63"/>
      <c r="AL24" s="63"/>
      <c r="AM24" s="63"/>
      <c r="AN24" s="63"/>
      <c r="AO24" s="63">
        <v>1753633.07</v>
      </c>
      <c r="AP24" s="64">
        <f t="shared" si="3"/>
        <v>5588392.959999999</v>
      </c>
    </row>
    <row r="25" spans="2:42" ht="31.5" x14ac:dyDescent="0.25">
      <c r="B25" s="65">
        <v>52</v>
      </c>
      <c r="C25" s="66">
        <v>101152</v>
      </c>
      <c r="D25" s="107" t="s">
        <v>113</v>
      </c>
      <c r="E25" s="67" t="s">
        <v>64</v>
      </c>
      <c r="F25" s="68">
        <v>22320370.449999999</v>
      </c>
      <c r="G25" s="63">
        <f t="shared" si="0"/>
        <v>20526519.559999999</v>
      </c>
      <c r="H25" s="147"/>
      <c r="I25" s="145"/>
      <c r="J25" s="144"/>
      <c r="K25" s="143"/>
      <c r="L25" s="142"/>
      <c r="M25" s="140"/>
      <c r="N25" s="139">
        <v>4459468.4800000004</v>
      </c>
      <c r="O25" s="137"/>
      <c r="P25" s="134">
        <v>3721675.46</v>
      </c>
      <c r="Q25" s="124">
        <v>20691</v>
      </c>
      <c r="R25" s="123">
        <v>3549313.4</v>
      </c>
      <c r="S25" s="115">
        <f>20691+20691</f>
        <v>41382</v>
      </c>
      <c r="T25" s="103">
        <v>1851669.16</v>
      </c>
      <c r="U25" s="99"/>
      <c r="V25" s="68">
        <v>20691</v>
      </c>
      <c r="W25" s="68">
        <v>940322.64</v>
      </c>
      <c r="X25" s="68">
        <f>20691+1446397.62</f>
        <v>1467088.62</v>
      </c>
      <c r="Y25" s="68">
        <v>20691</v>
      </c>
      <c r="Z25" s="68">
        <v>1089444.99</v>
      </c>
      <c r="AA25" s="68">
        <v>4602.6000000000004</v>
      </c>
      <c r="AB25" s="68">
        <f>31581+2740306.31</f>
        <v>2771887.31</v>
      </c>
      <c r="AC25" s="68">
        <v>567591.9</v>
      </c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>
        <v>6882320.0599999996</v>
      </c>
      <c r="AP25" s="69">
        <f t="shared" si="3"/>
        <v>13644199.5</v>
      </c>
    </row>
    <row r="26" spans="2:42" ht="31.5" x14ac:dyDescent="0.25">
      <c r="B26" s="65">
        <v>52</v>
      </c>
      <c r="C26" s="66">
        <v>101251</v>
      </c>
      <c r="D26" s="107" t="s">
        <v>113</v>
      </c>
      <c r="E26" s="67" t="s">
        <v>65</v>
      </c>
      <c r="F26" s="68">
        <v>8148556.5</v>
      </c>
      <c r="G26" s="63">
        <f t="shared" si="0"/>
        <v>15029</v>
      </c>
      <c r="H26" s="147"/>
      <c r="I26" s="145"/>
      <c r="J26" s="144"/>
      <c r="K26" s="143"/>
      <c r="L26" s="142"/>
      <c r="M26" s="140"/>
      <c r="N26" s="139"/>
      <c r="O26" s="137"/>
      <c r="P26" s="134"/>
      <c r="Q26" s="124"/>
      <c r="R26" s="123"/>
      <c r="S26" s="115"/>
      <c r="T26" s="103"/>
      <c r="U26" s="99"/>
      <c r="V26" s="68">
        <v>8349.6</v>
      </c>
      <c r="W26" s="68"/>
      <c r="X26" s="68"/>
      <c r="Y26" s="68"/>
      <c r="Z26" s="68"/>
      <c r="AA26" s="68"/>
      <c r="AB26" s="68"/>
      <c r="AC26" s="68">
        <v>6679.4</v>
      </c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9">
        <f t="shared" si="3"/>
        <v>15029</v>
      </c>
    </row>
    <row r="27" spans="2:42" ht="31.5" x14ac:dyDescent="0.25">
      <c r="B27" s="65">
        <v>52</v>
      </c>
      <c r="C27" s="66">
        <v>101113</v>
      </c>
      <c r="D27" s="107" t="s">
        <v>113</v>
      </c>
      <c r="E27" s="67" t="s">
        <v>66</v>
      </c>
      <c r="F27" s="68">
        <v>7222500.7999999998</v>
      </c>
      <c r="G27" s="63">
        <f t="shared" si="0"/>
        <v>17548</v>
      </c>
      <c r="H27" s="147"/>
      <c r="I27" s="145"/>
      <c r="J27" s="144"/>
      <c r="K27" s="143"/>
      <c r="L27" s="142"/>
      <c r="M27" s="140"/>
      <c r="N27" s="139"/>
      <c r="O27" s="137"/>
      <c r="P27" s="134"/>
      <c r="Q27" s="124"/>
      <c r="R27" s="123"/>
      <c r="S27" s="115"/>
      <c r="T27" s="103"/>
      <c r="U27" s="99"/>
      <c r="V27" s="68">
        <v>9748.7999999999993</v>
      </c>
      <c r="W27" s="68"/>
      <c r="X27" s="68"/>
      <c r="Y27" s="68"/>
      <c r="Z27" s="68"/>
      <c r="AA27" s="68"/>
      <c r="AB27" s="68"/>
      <c r="AC27" s="68">
        <v>7799.2</v>
      </c>
      <c r="AD27" s="68"/>
      <c r="AE27" s="68"/>
      <c r="AF27" s="68"/>
      <c r="AG27" s="68"/>
      <c r="AH27" s="68"/>
      <c r="AI27" s="68"/>
      <c r="AJ27" s="68"/>
      <c r="AK27" s="68"/>
      <c r="AL27" s="68"/>
      <c r="AM27" s="68"/>
      <c r="AN27" s="68"/>
      <c r="AO27" s="68"/>
      <c r="AP27" s="69">
        <f t="shared" si="3"/>
        <v>17548</v>
      </c>
    </row>
    <row r="28" spans="2:42" ht="32.25" thickBot="1" x14ac:dyDescent="0.3">
      <c r="B28" s="70">
        <v>52</v>
      </c>
      <c r="C28" s="71">
        <v>101255</v>
      </c>
      <c r="D28" s="108" t="s">
        <v>113</v>
      </c>
      <c r="E28" s="72" t="s">
        <v>67</v>
      </c>
      <c r="F28" s="73">
        <v>8159082.4000000004</v>
      </c>
      <c r="G28" s="73">
        <f>SUM(H28:AN28)</f>
        <v>15303.400000000001</v>
      </c>
      <c r="H28" s="73"/>
      <c r="I28" s="73"/>
      <c r="J28" s="73"/>
      <c r="K28" s="73"/>
      <c r="L28" s="73"/>
      <c r="M28" s="73"/>
      <c r="N28" s="73"/>
      <c r="O28" s="73"/>
      <c r="P28" s="73"/>
      <c r="Q28" s="73"/>
      <c r="R28" s="73"/>
      <c r="S28" s="73"/>
      <c r="T28" s="73"/>
      <c r="U28" s="73"/>
      <c r="V28" s="73">
        <v>8502.2000000000007</v>
      </c>
      <c r="W28" s="73"/>
      <c r="X28" s="73"/>
      <c r="Y28" s="73"/>
      <c r="Z28" s="73"/>
      <c r="AA28" s="73"/>
      <c r="AB28" s="73"/>
      <c r="AC28" s="73">
        <v>6801.2</v>
      </c>
      <c r="AD28" s="73"/>
      <c r="AE28" s="73"/>
      <c r="AF28" s="73"/>
      <c r="AG28" s="73"/>
      <c r="AH28" s="73"/>
      <c r="AI28" s="73"/>
      <c r="AJ28" s="73"/>
      <c r="AK28" s="73"/>
      <c r="AL28" s="73"/>
      <c r="AM28" s="73"/>
      <c r="AN28" s="73"/>
      <c r="AO28" s="73"/>
      <c r="AP28" s="74">
        <f t="shared" si="3"/>
        <v>15303.400000000001</v>
      </c>
    </row>
    <row r="29" spans="2:42" ht="32.25" thickTop="1" x14ac:dyDescent="0.25">
      <c r="B29" s="75">
        <v>52</v>
      </c>
      <c r="C29" s="76">
        <v>101130</v>
      </c>
      <c r="D29" s="109" t="s">
        <v>113</v>
      </c>
      <c r="E29" s="77" t="s">
        <v>68</v>
      </c>
      <c r="F29" s="78">
        <v>9140694.5</v>
      </c>
      <c r="G29" s="80">
        <f>SUM(H29:AN29)</f>
        <v>21739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>
        <v>12077</v>
      </c>
      <c r="W29" s="78"/>
      <c r="X29" s="78"/>
      <c r="Y29" s="78"/>
      <c r="Z29" s="78"/>
      <c r="AA29" s="78"/>
      <c r="AB29" s="78"/>
      <c r="AC29" s="78">
        <v>9662</v>
      </c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9">
        <f t="shared" si="3"/>
        <v>21739</v>
      </c>
    </row>
    <row r="30" spans="2:42" ht="15.75" x14ac:dyDescent="0.25">
      <c r="B30" s="65">
        <v>12</v>
      </c>
      <c r="C30" s="66">
        <v>1600</v>
      </c>
      <c r="D30" s="107" t="s">
        <v>114</v>
      </c>
      <c r="E30" s="67" t="s">
        <v>69</v>
      </c>
      <c r="F30" s="68">
        <v>148836202.09999999</v>
      </c>
      <c r="G30" s="63">
        <f>SUM(H30:AN30)</f>
        <v>35403642.129999995</v>
      </c>
      <c r="H30" s="147"/>
      <c r="I30" s="145"/>
      <c r="J30" s="144"/>
      <c r="K30" s="143"/>
      <c r="L30" s="142"/>
      <c r="M30" s="140"/>
      <c r="N30" s="139"/>
      <c r="O30" s="137"/>
      <c r="P30" s="134"/>
      <c r="Q30" s="124"/>
      <c r="R30" s="123"/>
      <c r="S30" s="115"/>
      <c r="T30" s="103"/>
      <c r="U30" s="99"/>
      <c r="V30" s="68"/>
      <c r="W30" s="68"/>
      <c r="X30" s="68"/>
      <c r="Y30" s="68"/>
      <c r="Z30" s="68"/>
      <c r="AA30" s="68">
        <f>44745.3+17404837.93+9855.9</f>
        <v>17459439.129999999</v>
      </c>
      <c r="AB30" s="68"/>
      <c r="AC30" s="68">
        <v>17944203</v>
      </c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68"/>
      <c r="AO30" s="68">
        <v>35403642.130000003</v>
      </c>
      <c r="AP30" s="69">
        <f t="shared" si="3"/>
        <v>0</v>
      </c>
    </row>
    <row r="31" spans="2:42" ht="31.5" x14ac:dyDescent="0.25">
      <c r="B31" s="65">
        <v>19</v>
      </c>
      <c r="C31" s="66">
        <v>1204</v>
      </c>
      <c r="D31" s="104" t="s">
        <v>118</v>
      </c>
      <c r="E31" s="67" t="s">
        <v>89</v>
      </c>
      <c r="F31" s="68">
        <v>1814555.22</v>
      </c>
      <c r="G31" s="63">
        <f t="shared" ref="G31:G39" si="4">SUM(H31:AN31)</f>
        <v>1726955.35</v>
      </c>
      <c r="H31" s="147"/>
      <c r="I31" s="145"/>
      <c r="J31" s="144"/>
      <c r="K31" s="143"/>
      <c r="L31" s="142"/>
      <c r="M31" s="140"/>
      <c r="N31" s="139"/>
      <c r="O31" s="137"/>
      <c r="P31" s="134"/>
      <c r="Q31" s="124"/>
      <c r="R31" s="123"/>
      <c r="S31" s="115"/>
      <c r="T31" s="103"/>
      <c r="U31" s="99"/>
      <c r="V31" s="68"/>
      <c r="W31" s="68"/>
      <c r="X31" s="68"/>
      <c r="Y31" s="68">
        <v>4793.2299999999996</v>
      </c>
      <c r="Z31" s="68"/>
      <c r="AA31" s="68"/>
      <c r="AB31" s="68">
        <f>1502273.87</f>
        <v>1502273.87</v>
      </c>
      <c r="AC31" s="68">
        <v>219888.25</v>
      </c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>
        <v>1726955.35</v>
      </c>
      <c r="AP31" s="69">
        <f t="shared" si="3"/>
        <v>0</v>
      </c>
    </row>
    <row r="32" spans="2:42" ht="15.75" x14ac:dyDescent="0.25">
      <c r="B32" s="65">
        <v>50</v>
      </c>
      <c r="C32" s="66">
        <v>100920</v>
      </c>
      <c r="D32" s="107" t="s">
        <v>113</v>
      </c>
      <c r="E32" s="67" t="s">
        <v>70</v>
      </c>
      <c r="F32" s="68">
        <v>80176109.400000006</v>
      </c>
      <c r="G32" s="63">
        <f t="shared" si="4"/>
        <v>56985045.070000008</v>
      </c>
      <c r="H32" s="147"/>
      <c r="I32" s="145"/>
      <c r="J32" s="144"/>
      <c r="K32" s="143"/>
      <c r="L32" s="142">
        <v>2395.8000000000002</v>
      </c>
      <c r="M32" s="140"/>
      <c r="N32" s="139">
        <v>4413171.76</v>
      </c>
      <c r="O32" s="137">
        <f>9583.2+39029.76</f>
        <v>48612.960000000006</v>
      </c>
      <c r="P32" s="134">
        <f>39029.76+9515077.89+11979+306128.15</f>
        <v>9872214.8000000007</v>
      </c>
      <c r="Q32" s="124"/>
      <c r="R32" s="123">
        <f>39029.76+9583.2+5077846.77</f>
        <v>5126459.7299999995</v>
      </c>
      <c r="S32" s="115"/>
      <c r="T32" s="103">
        <f>39029.76+9583.2+27782426.64</f>
        <v>27831039.600000001</v>
      </c>
      <c r="U32" s="99"/>
      <c r="V32" s="68">
        <f>9531720.82+21954.24+11325.6+39029.76</f>
        <v>9604030.4199999999</v>
      </c>
      <c r="W32" s="68"/>
      <c r="X32" s="68"/>
      <c r="Y32" s="68"/>
      <c r="Z32" s="68">
        <v>52272</v>
      </c>
      <c r="AA32" s="68"/>
      <c r="AB32" s="68"/>
      <c r="AC32" s="68">
        <v>34848</v>
      </c>
      <c r="AD32" s="68"/>
      <c r="AE32" s="68"/>
      <c r="AF32" s="68"/>
      <c r="AG32" s="68"/>
      <c r="AH32" s="68"/>
      <c r="AI32" s="68"/>
      <c r="AJ32" s="68"/>
      <c r="AK32" s="68"/>
      <c r="AL32" s="68"/>
      <c r="AM32" s="68"/>
      <c r="AN32" s="68"/>
      <c r="AO32" s="68">
        <v>37511649.75</v>
      </c>
      <c r="AP32" s="69">
        <f t="shared" si="3"/>
        <v>19473395.320000008</v>
      </c>
    </row>
    <row r="33" spans="2:44" ht="63" x14ac:dyDescent="0.25">
      <c r="B33" s="65">
        <v>59</v>
      </c>
      <c r="C33" s="66">
        <v>101157</v>
      </c>
      <c r="D33" s="107" t="s">
        <v>113</v>
      </c>
      <c r="E33" s="67" t="s">
        <v>74</v>
      </c>
      <c r="F33" s="68">
        <v>16521356.92</v>
      </c>
      <c r="G33" s="63">
        <f t="shared" si="4"/>
        <v>17354899.48</v>
      </c>
      <c r="H33" s="147"/>
      <c r="I33" s="145"/>
      <c r="J33" s="144"/>
      <c r="K33" s="143"/>
      <c r="L33" s="142"/>
      <c r="M33" s="140">
        <f>485694+341319.82+227345.08</f>
        <v>1054358.9000000001</v>
      </c>
      <c r="N33" s="139">
        <f>1131498+616472.01</f>
        <v>1747970.01</v>
      </c>
      <c r="O33" s="137"/>
      <c r="P33" s="134">
        <f>965426.4+25110+3201.66+72407.6+3243331.99+871116.15</f>
        <v>5180593.8000000007</v>
      </c>
      <c r="Q33" s="136">
        <v>1076306.6200000001</v>
      </c>
      <c r="R33" s="123">
        <f>3243331.99+871116.15+72407.61</f>
        <v>4186855.75</v>
      </c>
      <c r="S33" s="115"/>
      <c r="T33" s="103">
        <v>2088989.1</v>
      </c>
      <c r="U33" s="99"/>
      <c r="V33" s="68"/>
      <c r="W33" s="68">
        <f>245922.85+14466.05+1269112.05+74653.65+19582.6+1151.9</f>
        <v>1624889.0999999999</v>
      </c>
      <c r="X33" s="68"/>
      <c r="Y33" s="68"/>
      <c r="Z33" s="68">
        <f>256535.95+15090.35</f>
        <v>271626.3</v>
      </c>
      <c r="AA33" s="68"/>
      <c r="AB33" s="68">
        <f>116459.35+6850.55</f>
        <v>123309.90000000001</v>
      </c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>
        <f>1770503.08+2049230.16</f>
        <v>3819733.24</v>
      </c>
      <c r="AP33" s="69">
        <f t="shared" si="3"/>
        <v>13535166.24</v>
      </c>
    </row>
    <row r="34" spans="2:44" ht="31.5" x14ac:dyDescent="0.25">
      <c r="B34" s="65">
        <v>19</v>
      </c>
      <c r="C34" s="66">
        <v>1208</v>
      </c>
      <c r="D34" s="104" t="s">
        <v>119</v>
      </c>
      <c r="E34" s="67" t="s">
        <v>72</v>
      </c>
      <c r="F34" s="68">
        <v>2790000</v>
      </c>
      <c r="G34" s="63">
        <f t="shared" si="4"/>
        <v>1797719.73</v>
      </c>
      <c r="H34" s="147"/>
      <c r="I34" s="145"/>
      <c r="J34" s="144"/>
      <c r="K34" s="143"/>
      <c r="L34" s="142"/>
      <c r="M34" s="140"/>
      <c r="N34" s="139"/>
      <c r="O34" s="137"/>
      <c r="P34" s="134"/>
      <c r="Q34" s="124"/>
      <c r="R34" s="123"/>
      <c r="S34" s="115"/>
      <c r="T34" s="103"/>
      <c r="U34" s="99"/>
      <c r="V34" s="68"/>
      <c r="W34" s="68"/>
      <c r="X34" s="68"/>
      <c r="Y34" s="68"/>
      <c r="Z34" s="68">
        <v>1482639.27</v>
      </c>
      <c r="AA34" s="68"/>
      <c r="AB34" s="68">
        <f>364580.96-49500.5</f>
        <v>315080.46000000002</v>
      </c>
      <c r="AC34" s="68"/>
      <c r="AD34" s="68"/>
      <c r="AE34" s="68"/>
      <c r="AF34" s="68"/>
      <c r="AG34" s="68"/>
      <c r="AH34" s="68"/>
      <c r="AI34" s="68"/>
      <c r="AJ34" s="68"/>
      <c r="AK34" s="68"/>
      <c r="AL34" s="68"/>
      <c r="AM34" s="68"/>
      <c r="AN34" s="68"/>
      <c r="AO34" s="68"/>
      <c r="AP34" s="69">
        <f>G34-AO34</f>
        <v>1797719.73</v>
      </c>
    </row>
    <row r="35" spans="2:44" ht="15.75" x14ac:dyDescent="0.25">
      <c r="B35" s="60">
        <v>12</v>
      </c>
      <c r="C35" s="61">
        <v>1600</v>
      </c>
      <c r="D35" s="107" t="s">
        <v>114</v>
      </c>
      <c r="E35" s="62" t="s">
        <v>75</v>
      </c>
      <c r="F35" s="63">
        <v>32403507.600000001</v>
      </c>
      <c r="G35" s="63">
        <f t="shared" si="4"/>
        <v>1776558.39</v>
      </c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>
        <v>14033.92</v>
      </c>
      <c r="AA35" s="63">
        <v>1762524.47</v>
      </c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>
        <v>1776558.39</v>
      </c>
      <c r="AP35" s="64">
        <f>G35-AO35</f>
        <v>0</v>
      </c>
    </row>
    <row r="36" spans="2:44" ht="31.5" x14ac:dyDescent="0.25">
      <c r="B36" s="60">
        <v>19</v>
      </c>
      <c r="C36" s="61">
        <v>1106</v>
      </c>
      <c r="D36" s="112" t="s">
        <v>120</v>
      </c>
      <c r="E36" s="62" t="s">
        <v>76</v>
      </c>
      <c r="F36" s="63">
        <v>4107684.97</v>
      </c>
      <c r="G36" s="63">
        <f t="shared" si="4"/>
        <v>3407826.0700000003</v>
      </c>
      <c r="H36" s="63"/>
      <c r="I36" s="63"/>
      <c r="J36" s="63"/>
      <c r="K36" s="63"/>
      <c r="L36" s="63"/>
      <c r="M36" s="63"/>
      <c r="N36" s="63"/>
      <c r="O36" s="63">
        <v>682986.07</v>
      </c>
      <c r="P36" s="63"/>
      <c r="Q36" s="63">
        <v>794014.2</v>
      </c>
      <c r="R36" s="63">
        <v>491514.3</v>
      </c>
      <c r="S36" s="63">
        <f>483652.8</f>
        <v>483652.8</v>
      </c>
      <c r="T36" s="63">
        <v>133947</v>
      </c>
      <c r="U36" s="63">
        <v>10890</v>
      </c>
      <c r="V36" s="63"/>
      <c r="W36" s="63">
        <v>412731</v>
      </c>
      <c r="X36" s="63">
        <v>387200.7</v>
      </c>
      <c r="Y36" s="63"/>
      <c r="Z36" s="63"/>
      <c r="AA36" s="63">
        <v>10890</v>
      </c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4">
        <f t="shared" ref="AP36:AP46" si="5">G36-AO36</f>
        <v>3407826.0700000003</v>
      </c>
    </row>
    <row r="37" spans="2:44" ht="47.25" x14ac:dyDescent="0.25">
      <c r="B37" s="65">
        <v>19</v>
      </c>
      <c r="C37" s="66">
        <v>1205</v>
      </c>
      <c r="D37" s="104" t="s">
        <v>121</v>
      </c>
      <c r="E37" s="67" t="s">
        <v>77</v>
      </c>
      <c r="F37" s="68">
        <v>3356943.54</v>
      </c>
      <c r="G37" s="63">
        <f t="shared" si="4"/>
        <v>2396953.7999999998</v>
      </c>
      <c r="H37" s="147"/>
      <c r="I37" s="145"/>
      <c r="J37" s="144"/>
      <c r="K37" s="143"/>
      <c r="L37" s="142"/>
      <c r="M37" s="140"/>
      <c r="N37" s="139"/>
      <c r="O37" s="137">
        <v>49549.5</v>
      </c>
      <c r="P37" s="134"/>
      <c r="Q37" s="124">
        <v>43549.2</v>
      </c>
      <c r="R37" s="123">
        <v>69794.100000000006</v>
      </c>
      <c r="S37" s="115"/>
      <c r="T37" s="103">
        <f>194441.4+1486485</f>
        <v>1680926.4</v>
      </c>
      <c r="U37" s="99">
        <v>114300</v>
      </c>
      <c r="V37" s="68"/>
      <c r="W37" s="68">
        <v>27225</v>
      </c>
      <c r="X37" s="68"/>
      <c r="Y37" s="68"/>
      <c r="Z37" s="68"/>
      <c r="AA37" s="68">
        <v>411609.59999999998</v>
      </c>
      <c r="AB37" s="68"/>
      <c r="AC37" s="68"/>
      <c r="AD37" s="68"/>
      <c r="AE37" s="68"/>
      <c r="AF37" s="68"/>
      <c r="AG37" s="68"/>
      <c r="AH37" s="68"/>
      <c r="AI37" s="68"/>
      <c r="AJ37" s="68"/>
      <c r="AK37" s="68"/>
      <c r="AL37" s="68"/>
      <c r="AM37" s="68"/>
      <c r="AN37" s="68"/>
      <c r="AO37" s="68"/>
      <c r="AP37" s="69">
        <f t="shared" si="5"/>
        <v>2396953.7999999998</v>
      </c>
    </row>
    <row r="38" spans="2:44" ht="31.5" x14ac:dyDescent="0.25">
      <c r="B38" s="65">
        <v>59</v>
      </c>
      <c r="C38" s="66">
        <v>101156</v>
      </c>
      <c r="D38" s="107" t="s">
        <v>113</v>
      </c>
      <c r="E38" s="67" t="s">
        <v>80</v>
      </c>
      <c r="F38" s="68">
        <v>12895764.300000001</v>
      </c>
      <c r="G38" s="63">
        <f t="shared" si="4"/>
        <v>12058471.300000001</v>
      </c>
      <c r="H38" s="147"/>
      <c r="I38" s="145"/>
      <c r="J38" s="144"/>
      <c r="K38" s="143"/>
      <c r="L38" s="142"/>
      <c r="M38" s="140"/>
      <c r="N38" s="139">
        <v>19071.66</v>
      </c>
      <c r="O38" s="137">
        <v>3967247.7</v>
      </c>
      <c r="P38" s="134"/>
      <c r="Q38" s="124">
        <v>1467177.03</v>
      </c>
      <c r="R38" s="123">
        <v>1753330.04</v>
      </c>
      <c r="S38" s="115">
        <f>62204.4+22500+1542820.07+407873.7</f>
        <v>2035398.17</v>
      </c>
      <c r="T38" s="103">
        <v>20364.3</v>
      </c>
      <c r="U38" s="99"/>
      <c r="V38" s="68">
        <f>112679.2+1915546.4+4385+74545</f>
        <v>2107155.5999999996</v>
      </c>
      <c r="W38" s="68">
        <f>1197.9+20364.3</f>
        <v>21562.2</v>
      </c>
      <c r="X38" s="68"/>
      <c r="Y38" s="68">
        <v>283959</v>
      </c>
      <c r="Z38" s="68">
        <v>383205.6</v>
      </c>
      <c r="AA38" s="68"/>
      <c r="AB38" s="68"/>
      <c r="AC38" s="68"/>
      <c r="AD38" s="68"/>
      <c r="AE38" s="68"/>
      <c r="AF38" s="68"/>
      <c r="AG38" s="68"/>
      <c r="AH38" s="68"/>
      <c r="AI38" s="68"/>
      <c r="AJ38" s="68"/>
      <c r="AK38" s="68"/>
      <c r="AL38" s="68"/>
      <c r="AM38" s="68"/>
      <c r="AN38" s="68"/>
      <c r="AO38" s="68">
        <f>2574752.58+9109869.51</f>
        <v>11684622.09</v>
      </c>
      <c r="AP38" s="69">
        <f t="shared" si="5"/>
        <v>373849.21000000089</v>
      </c>
      <c r="AR38" s="114"/>
    </row>
    <row r="39" spans="2:44" ht="47.25" x14ac:dyDescent="0.25">
      <c r="B39" s="65">
        <v>19</v>
      </c>
      <c r="C39" s="66">
        <v>1142</v>
      </c>
      <c r="D39" s="104" t="s">
        <v>122</v>
      </c>
      <c r="E39" s="67" t="s">
        <v>81</v>
      </c>
      <c r="F39" s="68">
        <v>4365000</v>
      </c>
      <c r="G39" s="63">
        <f t="shared" si="4"/>
        <v>4228551.8999999994</v>
      </c>
      <c r="H39" s="147"/>
      <c r="I39" s="145"/>
      <c r="J39" s="144"/>
      <c r="K39" s="143"/>
      <c r="L39" s="142"/>
      <c r="M39" s="140"/>
      <c r="N39" s="139"/>
      <c r="O39" s="137"/>
      <c r="P39" s="134"/>
      <c r="Q39" s="124">
        <v>3424460.4</v>
      </c>
      <c r="R39" s="123"/>
      <c r="S39" s="115"/>
      <c r="T39" s="103"/>
      <c r="U39" s="99">
        <v>432432.9</v>
      </c>
      <c r="V39" s="68"/>
      <c r="W39" s="68"/>
      <c r="X39" s="68"/>
      <c r="Y39" s="68"/>
      <c r="Z39" s="68">
        <v>371658.6</v>
      </c>
      <c r="AA39" s="68"/>
      <c r="AB39" s="68"/>
      <c r="AC39" s="68"/>
      <c r="AD39" s="68"/>
      <c r="AE39" s="68"/>
      <c r="AF39" s="68"/>
      <c r="AG39" s="68"/>
      <c r="AH39" s="68"/>
      <c r="AI39" s="68"/>
      <c r="AJ39" s="68"/>
      <c r="AK39" s="68"/>
      <c r="AL39" s="68"/>
      <c r="AM39" s="68"/>
      <c r="AN39" s="68"/>
      <c r="AO39" s="68"/>
      <c r="AP39" s="69">
        <f t="shared" si="5"/>
        <v>4228551.8999999994</v>
      </c>
    </row>
    <row r="40" spans="2:44" ht="24.95" customHeight="1" x14ac:dyDescent="0.25">
      <c r="B40" s="174">
        <v>52</v>
      </c>
      <c r="C40" s="66">
        <v>101050</v>
      </c>
      <c r="D40" s="157" t="s">
        <v>113</v>
      </c>
      <c r="E40" s="172" t="s">
        <v>82</v>
      </c>
      <c r="F40" s="165">
        <v>6250335.1500000004</v>
      </c>
      <c r="G40" s="165">
        <f>SUM(H41:AN41)+SUM(H40:AN40)</f>
        <v>6146069.1999999993</v>
      </c>
      <c r="H40" s="63"/>
      <c r="I40" s="63"/>
      <c r="J40" s="63"/>
      <c r="K40" s="63"/>
      <c r="L40" s="63"/>
      <c r="M40" s="63"/>
      <c r="N40" s="63"/>
      <c r="O40" s="63"/>
      <c r="P40" s="63"/>
      <c r="Q40" s="63">
        <f>380530.4+2976+8228</f>
        <v>391734.4</v>
      </c>
      <c r="R40" s="63">
        <v>525921.6</v>
      </c>
      <c r="S40" s="63">
        <v>93748.4</v>
      </c>
      <c r="T40" s="63">
        <v>2980</v>
      </c>
      <c r="U40" s="63">
        <f>15488-4719</f>
        <v>10769</v>
      </c>
      <c r="V40" s="68">
        <f>3280+1017982.4+444381.6-444381.6</f>
        <v>1021262.4</v>
      </c>
      <c r="W40" s="68"/>
      <c r="X40" s="68">
        <f>1235620+7200</f>
        <v>1242820</v>
      </c>
      <c r="Y40" s="68"/>
      <c r="Z40" s="68">
        <f>544272.4+7200</f>
        <v>551472.4</v>
      </c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165">
        <f>1870814.4+4275254.8</f>
        <v>6146069.1999999993</v>
      </c>
      <c r="AP40" s="163">
        <f>G40-AO40-AO41</f>
        <v>0</v>
      </c>
      <c r="AR40" s="95"/>
    </row>
    <row r="41" spans="2:44" ht="24.95" customHeight="1" x14ac:dyDescent="0.25">
      <c r="B41" s="175"/>
      <c r="C41" s="94">
        <v>100700</v>
      </c>
      <c r="D41" s="158"/>
      <c r="E41" s="173"/>
      <c r="F41" s="176"/>
      <c r="G41" s="176"/>
      <c r="H41" s="146"/>
      <c r="I41" s="146"/>
      <c r="J41" s="138"/>
      <c r="K41" s="138"/>
      <c r="L41" s="138"/>
      <c r="M41" s="138"/>
      <c r="N41" s="138"/>
      <c r="O41" s="138"/>
      <c r="P41" s="63"/>
      <c r="Q41" s="63">
        <f>670314.8+5176+8228</f>
        <v>683718.8</v>
      </c>
      <c r="R41" s="63">
        <v>967986.8</v>
      </c>
      <c r="S41" s="63">
        <f>187044.8+6160</f>
        <v>193204.8</v>
      </c>
      <c r="T41" s="103">
        <v>2480</v>
      </c>
      <c r="U41" s="99">
        <f>6050+4719</f>
        <v>10769</v>
      </c>
      <c r="V41" s="93">
        <f>2820+444381.6</f>
        <v>447201.6</v>
      </c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  <c r="AK41" s="68"/>
      <c r="AL41" s="68"/>
      <c r="AM41" s="68"/>
      <c r="AN41" s="68"/>
      <c r="AO41" s="166"/>
      <c r="AP41" s="164"/>
    </row>
    <row r="42" spans="2:44" ht="31.5" x14ac:dyDescent="0.25">
      <c r="B42" s="65">
        <v>19</v>
      </c>
      <c r="C42" s="66">
        <v>1136</v>
      </c>
      <c r="D42" s="104" t="s">
        <v>123</v>
      </c>
      <c r="E42" s="67" t="s">
        <v>83</v>
      </c>
      <c r="F42" s="68">
        <v>3135292.13</v>
      </c>
      <c r="G42" s="63">
        <f>SUM(H42:AN42)</f>
        <v>2681999.2799999998</v>
      </c>
      <c r="H42" s="63"/>
      <c r="I42" s="63"/>
      <c r="J42" s="63"/>
      <c r="K42" s="63"/>
      <c r="L42" s="63"/>
      <c r="M42" s="63"/>
      <c r="N42" s="63"/>
      <c r="O42" s="137"/>
      <c r="P42" s="134"/>
      <c r="Q42" s="124"/>
      <c r="R42" s="123"/>
      <c r="S42" s="115">
        <v>2123550</v>
      </c>
      <c r="T42" s="103"/>
      <c r="U42" s="99">
        <v>485370</v>
      </c>
      <c r="V42" s="68"/>
      <c r="W42" s="68"/>
      <c r="X42" s="68"/>
      <c r="Y42" s="68">
        <v>10890</v>
      </c>
      <c r="Z42" s="68">
        <v>62189.279999999999</v>
      </c>
      <c r="AA42" s="68"/>
      <c r="AB42" s="68"/>
      <c r="AC42" s="68"/>
      <c r="AD42" s="68"/>
      <c r="AE42" s="68"/>
      <c r="AF42" s="68"/>
      <c r="AG42" s="68"/>
      <c r="AH42" s="68"/>
      <c r="AI42" s="68"/>
      <c r="AJ42" s="68"/>
      <c r="AK42" s="68"/>
      <c r="AL42" s="68"/>
      <c r="AM42" s="68"/>
      <c r="AN42" s="68"/>
      <c r="AO42" s="68"/>
      <c r="AP42" s="69">
        <f t="shared" si="5"/>
        <v>2681999.2799999998</v>
      </c>
    </row>
    <row r="43" spans="2:44" ht="31.5" x14ac:dyDescent="0.25">
      <c r="B43" s="65">
        <v>19</v>
      </c>
      <c r="C43" s="66">
        <v>1108</v>
      </c>
      <c r="D43" s="104" t="s">
        <v>124</v>
      </c>
      <c r="E43" s="67" t="s">
        <v>84</v>
      </c>
      <c r="F43" s="68">
        <v>4005925.58</v>
      </c>
      <c r="G43" s="63">
        <f t="shared" ref="G43:G49" si="6">SUM(H43:AN43)</f>
        <v>3045540.66</v>
      </c>
      <c r="H43" s="147"/>
      <c r="I43" s="145"/>
      <c r="J43" s="144"/>
      <c r="K43" s="143"/>
      <c r="L43" s="142"/>
      <c r="M43" s="140"/>
      <c r="N43" s="139"/>
      <c r="O43" s="137"/>
      <c r="P43" s="134">
        <v>818658.81</v>
      </c>
      <c r="Q43" s="124">
        <v>173035.57</v>
      </c>
      <c r="R43" s="123">
        <v>255302.91</v>
      </c>
      <c r="S43" s="115">
        <v>69804.899999999994</v>
      </c>
      <c r="T43" s="103">
        <v>1050090.3</v>
      </c>
      <c r="U43" s="99">
        <f>569533.01+10890</f>
        <v>580423.01</v>
      </c>
      <c r="V43" s="68"/>
      <c r="W43" s="68"/>
      <c r="X43" s="68">
        <v>87335.16</v>
      </c>
      <c r="Y43" s="68"/>
      <c r="Z43" s="68">
        <v>10890</v>
      </c>
      <c r="AA43" s="68"/>
      <c r="AB43" s="68"/>
      <c r="AC43" s="68"/>
      <c r="AD43" s="68"/>
      <c r="AE43" s="68"/>
      <c r="AF43" s="68"/>
      <c r="AG43" s="68"/>
      <c r="AH43" s="68"/>
      <c r="AI43" s="68"/>
      <c r="AJ43" s="68"/>
      <c r="AK43" s="68"/>
      <c r="AL43" s="68"/>
      <c r="AM43" s="68"/>
      <c r="AN43" s="68"/>
      <c r="AO43" s="68"/>
      <c r="AP43" s="69">
        <f t="shared" si="5"/>
        <v>3045540.66</v>
      </c>
    </row>
    <row r="44" spans="2:44" ht="31.5" x14ac:dyDescent="0.25">
      <c r="B44" s="65">
        <v>59</v>
      </c>
      <c r="C44" s="66">
        <v>101154</v>
      </c>
      <c r="D44" s="107" t="s">
        <v>113</v>
      </c>
      <c r="E44" s="67" t="s">
        <v>86</v>
      </c>
      <c r="F44" s="68">
        <v>10434308.4</v>
      </c>
      <c r="G44" s="63">
        <f t="shared" si="6"/>
        <v>7024123.5</v>
      </c>
      <c r="H44" s="147"/>
      <c r="I44" s="145"/>
      <c r="J44" s="144"/>
      <c r="K44" s="143"/>
      <c r="L44" s="142"/>
      <c r="M44" s="141">
        <f>15246+3615371.1+352969.2+873337.57+22185.9+27116.1+3822.3+120922.2</f>
        <v>5030970.37</v>
      </c>
      <c r="N44" s="139">
        <f>265924.8+12109.5</f>
        <v>278034.3</v>
      </c>
      <c r="O44" s="137">
        <f>371186.1+148104</f>
        <v>519290.1</v>
      </c>
      <c r="P44" s="134">
        <f>126147.6-871.2</f>
        <v>125276.40000000001</v>
      </c>
      <c r="Q44" s="124"/>
      <c r="R44" s="123"/>
      <c r="S44" s="115">
        <f>669724.11+399085.82</f>
        <v>1068809.93</v>
      </c>
      <c r="T44" s="103"/>
      <c r="U44" s="99"/>
      <c r="V44" s="68"/>
      <c r="W44" s="68"/>
      <c r="X44" s="68">
        <f>822.8+48.4</f>
        <v>871.19999999999993</v>
      </c>
      <c r="Y44" s="68">
        <f>822.8+48.4</f>
        <v>871.19999999999993</v>
      </c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  <c r="AK44" s="68"/>
      <c r="AL44" s="68"/>
      <c r="AM44" s="68"/>
      <c r="AN44" s="68"/>
      <c r="AO44" s="68"/>
      <c r="AP44" s="69">
        <f t="shared" si="5"/>
        <v>7024123.5</v>
      </c>
    </row>
    <row r="45" spans="2:44" ht="31.5" x14ac:dyDescent="0.25">
      <c r="B45" s="65">
        <v>19</v>
      </c>
      <c r="C45" s="66">
        <v>1112</v>
      </c>
      <c r="D45" s="104" t="s">
        <v>125</v>
      </c>
      <c r="E45" s="67" t="s">
        <v>87</v>
      </c>
      <c r="F45" s="68">
        <v>3558912.48</v>
      </c>
      <c r="G45" s="63">
        <f t="shared" si="6"/>
        <v>2088473.8499999999</v>
      </c>
      <c r="H45" s="147"/>
      <c r="I45" s="145"/>
      <c r="J45" s="144"/>
      <c r="K45" s="143"/>
      <c r="L45" s="142"/>
      <c r="M45" s="140"/>
      <c r="N45" s="139"/>
      <c r="O45" s="137"/>
      <c r="P45" s="134">
        <f>289965.6-4356</f>
        <v>285609.59999999998</v>
      </c>
      <c r="Q45" s="124">
        <v>20745.45</v>
      </c>
      <c r="R45" s="123">
        <v>438104.7</v>
      </c>
      <c r="S45" s="115"/>
      <c r="T45" s="103"/>
      <c r="U45" s="99">
        <v>635540.4</v>
      </c>
      <c r="V45" s="68"/>
      <c r="W45" s="68">
        <v>686693.7</v>
      </c>
      <c r="X45" s="68"/>
      <c r="Y45" s="68">
        <v>21780</v>
      </c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  <c r="AK45" s="68"/>
      <c r="AL45" s="68"/>
      <c r="AM45" s="68"/>
      <c r="AN45" s="68"/>
      <c r="AO45" s="68"/>
      <c r="AP45" s="69">
        <f t="shared" si="5"/>
        <v>2088473.8499999999</v>
      </c>
    </row>
    <row r="46" spans="2:44" ht="31.5" x14ac:dyDescent="0.25">
      <c r="B46" s="65">
        <v>19</v>
      </c>
      <c r="C46" s="66">
        <v>1208</v>
      </c>
      <c r="D46" s="104" t="s">
        <v>119</v>
      </c>
      <c r="E46" s="67" t="s">
        <v>88</v>
      </c>
      <c r="F46" s="68">
        <v>2784542.4</v>
      </c>
      <c r="G46" s="63">
        <f t="shared" si="6"/>
        <v>2695117.1</v>
      </c>
      <c r="H46" s="147"/>
      <c r="I46" s="145"/>
      <c r="J46" s="144"/>
      <c r="K46" s="143"/>
      <c r="L46" s="142"/>
      <c r="M46" s="140"/>
      <c r="N46" s="139"/>
      <c r="O46" s="137"/>
      <c r="P46" s="134"/>
      <c r="Q46" s="124"/>
      <c r="R46" s="123"/>
      <c r="S46" s="115"/>
      <c r="T46" s="103"/>
      <c r="U46" s="99"/>
      <c r="V46" s="68"/>
      <c r="W46" s="68"/>
      <c r="X46" s="68">
        <v>1007216.1</v>
      </c>
      <c r="Y46" s="68">
        <v>1638400.5</v>
      </c>
      <c r="Z46" s="68"/>
      <c r="AA46" s="68"/>
      <c r="AB46" s="68">
        <v>49500.5</v>
      </c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>
        <v>2695117.1</v>
      </c>
      <c r="AP46" s="69">
        <f t="shared" si="5"/>
        <v>0</v>
      </c>
    </row>
    <row r="47" spans="2:44" ht="31.5" x14ac:dyDescent="0.25">
      <c r="B47" s="65">
        <v>52</v>
      </c>
      <c r="C47" s="66">
        <v>101144</v>
      </c>
      <c r="D47" s="107" t="s">
        <v>113</v>
      </c>
      <c r="E47" s="67" t="s">
        <v>91</v>
      </c>
      <c r="F47" s="68">
        <v>7931955.2999999998</v>
      </c>
      <c r="G47" s="63">
        <f t="shared" si="6"/>
        <v>7741617.0300000003</v>
      </c>
      <c r="H47" s="147"/>
      <c r="I47" s="145"/>
      <c r="J47" s="144"/>
      <c r="K47" s="143"/>
      <c r="L47" s="142"/>
      <c r="M47" s="140"/>
      <c r="N47" s="139">
        <v>1266686.74</v>
      </c>
      <c r="O47" s="137"/>
      <c r="P47" s="134"/>
      <c r="Q47" s="124">
        <v>4601678.4000000004</v>
      </c>
      <c r="R47" s="123"/>
      <c r="S47" s="115">
        <v>35338.5</v>
      </c>
      <c r="T47" s="103">
        <f>1256303.94+73900.23</f>
        <v>1330204.17</v>
      </c>
      <c r="U47" s="99"/>
      <c r="V47" s="68"/>
      <c r="W47" s="68">
        <v>290705.71999999997</v>
      </c>
      <c r="X47" s="68">
        <v>217003.5</v>
      </c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  <c r="AK47" s="68"/>
      <c r="AL47" s="68"/>
      <c r="AM47" s="68"/>
      <c r="AN47" s="68"/>
      <c r="AO47" s="68"/>
      <c r="AP47" s="69">
        <f t="shared" ref="AP47:AP55" si="7">G47-AO47</f>
        <v>7741617.0300000003</v>
      </c>
    </row>
    <row r="48" spans="2:44" ht="47.25" x14ac:dyDescent="0.25">
      <c r="B48" s="65">
        <v>19</v>
      </c>
      <c r="C48" s="66">
        <v>1133</v>
      </c>
      <c r="D48" s="104" t="s">
        <v>126</v>
      </c>
      <c r="E48" s="67" t="s">
        <v>92</v>
      </c>
      <c r="F48" s="68">
        <v>4231605.5999999996</v>
      </c>
      <c r="G48" s="63">
        <f t="shared" si="6"/>
        <v>1891027.37</v>
      </c>
      <c r="H48" s="147"/>
      <c r="I48" s="145"/>
      <c r="J48" s="144"/>
      <c r="K48" s="143"/>
      <c r="L48" s="142"/>
      <c r="M48" s="140"/>
      <c r="N48" s="139"/>
      <c r="O48" s="137"/>
      <c r="P48" s="134">
        <v>25895.32</v>
      </c>
      <c r="Q48" s="124"/>
      <c r="R48" s="123"/>
      <c r="S48" s="115">
        <f>506123.95+428085.9</f>
        <v>934209.85000000009</v>
      </c>
      <c r="T48" s="103"/>
      <c r="U48" s="99"/>
      <c r="V48" s="68"/>
      <c r="W48" s="68"/>
      <c r="X48" s="68">
        <v>930922.2</v>
      </c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  <c r="AK48" s="68"/>
      <c r="AL48" s="68"/>
      <c r="AM48" s="68"/>
      <c r="AN48" s="68"/>
      <c r="AO48" s="68">
        <v>1891027.37</v>
      </c>
      <c r="AP48" s="69">
        <f t="shared" si="7"/>
        <v>0</v>
      </c>
    </row>
    <row r="49" spans="2:44" ht="31.5" x14ac:dyDescent="0.25">
      <c r="B49" s="90">
        <v>19</v>
      </c>
      <c r="C49" s="66">
        <v>1700</v>
      </c>
      <c r="D49" s="110" t="s">
        <v>127</v>
      </c>
      <c r="E49" s="67" t="s">
        <v>93</v>
      </c>
      <c r="F49" s="91">
        <v>4497134.4000000004</v>
      </c>
      <c r="G49" s="63">
        <f t="shared" si="6"/>
        <v>2060475.1</v>
      </c>
      <c r="H49" s="147"/>
      <c r="I49" s="145"/>
      <c r="J49" s="144"/>
      <c r="K49" s="143"/>
      <c r="L49" s="142"/>
      <c r="M49" s="140"/>
      <c r="N49" s="139">
        <v>1574296.54</v>
      </c>
      <c r="O49" s="137"/>
      <c r="P49" s="134"/>
      <c r="Q49" s="124"/>
      <c r="R49" s="123"/>
      <c r="S49" s="115"/>
      <c r="T49" s="103"/>
      <c r="U49" s="99"/>
      <c r="V49" s="91"/>
      <c r="W49" s="91"/>
      <c r="X49" s="91">
        <v>486178.56</v>
      </c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91"/>
      <c r="AK49" s="91"/>
      <c r="AL49" s="91"/>
      <c r="AM49" s="91"/>
      <c r="AN49" s="91"/>
      <c r="AO49" s="91"/>
      <c r="AP49" s="92">
        <f t="shared" si="7"/>
        <v>2060475.1</v>
      </c>
    </row>
    <row r="50" spans="2:44" ht="15.75" x14ac:dyDescent="0.25">
      <c r="B50" s="60">
        <v>59</v>
      </c>
      <c r="C50" s="61">
        <v>101160</v>
      </c>
      <c r="D50" s="107" t="s">
        <v>113</v>
      </c>
      <c r="E50" s="62" t="s">
        <v>94</v>
      </c>
      <c r="F50" s="63">
        <v>19530000</v>
      </c>
      <c r="G50" s="63">
        <f>SUM(H50:AN50)</f>
        <v>18317533.950000003</v>
      </c>
      <c r="H50" s="63"/>
      <c r="I50" s="63"/>
      <c r="J50" s="63"/>
      <c r="K50" s="63"/>
      <c r="L50" s="63"/>
      <c r="M50" s="63"/>
      <c r="N50" s="63"/>
      <c r="O50" s="63"/>
      <c r="P50" s="63"/>
      <c r="Q50" s="63">
        <v>203564.54</v>
      </c>
      <c r="R50" s="63">
        <v>576872.26</v>
      </c>
      <c r="S50" s="63">
        <v>285214.5</v>
      </c>
      <c r="T50" s="63">
        <f>315810+181982.7+197087.4+1437480+696905.55+4170559.5+380061+266805+2989305+209632.5+976500+364815+306009</f>
        <v>12492952.65</v>
      </c>
      <c r="U50" s="63"/>
      <c r="V50" s="63"/>
      <c r="W50" s="63"/>
      <c r="X50" s="63">
        <f>90145+1532465+174240+2962080</f>
        <v>4758930</v>
      </c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>
        <v>17251882.649999999</v>
      </c>
      <c r="AP50" s="64">
        <f t="shared" si="7"/>
        <v>1065651.3000000045</v>
      </c>
    </row>
    <row r="51" spans="2:44" ht="32.25" thickBot="1" x14ac:dyDescent="0.3">
      <c r="B51" s="70">
        <v>52</v>
      </c>
      <c r="C51" s="71">
        <v>101155</v>
      </c>
      <c r="D51" s="108" t="s">
        <v>113</v>
      </c>
      <c r="E51" s="72" t="s">
        <v>101</v>
      </c>
      <c r="F51" s="73">
        <v>6148995.4800000004</v>
      </c>
      <c r="G51" s="73">
        <f>SUM(H51:AN51)</f>
        <v>6001336.6299999999</v>
      </c>
      <c r="H51" s="73"/>
      <c r="I51" s="73"/>
      <c r="J51" s="73"/>
      <c r="K51" s="73"/>
      <c r="L51" s="73"/>
      <c r="M51" s="73"/>
      <c r="N51" s="73">
        <v>1260000</v>
      </c>
      <c r="O51" s="73">
        <v>688161.6</v>
      </c>
      <c r="P51" s="73">
        <v>1144310.97</v>
      </c>
      <c r="Q51" s="73"/>
      <c r="R51" s="73">
        <f>921842.26</f>
        <v>921842.26</v>
      </c>
      <c r="S51" s="73">
        <f>80803.8+261904.5+173151</f>
        <v>515859.3</v>
      </c>
      <c r="T51" s="73"/>
      <c r="U51" s="73"/>
      <c r="V51" s="73">
        <v>1249387.2</v>
      </c>
      <c r="W51" s="73">
        <v>221775.3</v>
      </c>
      <c r="X51" s="73"/>
      <c r="Y51" s="73"/>
      <c r="Z51" s="73"/>
      <c r="AA51" s="73"/>
      <c r="AB51" s="73"/>
      <c r="AC51" s="73"/>
      <c r="AD51" s="73"/>
      <c r="AE51" s="73"/>
      <c r="AF51" s="73"/>
      <c r="AG51" s="73"/>
      <c r="AH51" s="73"/>
      <c r="AI51" s="73"/>
      <c r="AJ51" s="73"/>
      <c r="AK51" s="73"/>
      <c r="AL51" s="73"/>
      <c r="AM51" s="73"/>
      <c r="AN51" s="73"/>
      <c r="AO51" s="73"/>
      <c r="AP51" s="74">
        <f t="shared" si="7"/>
        <v>6001336.6299999999</v>
      </c>
    </row>
    <row r="52" spans="2:44" ht="32.25" thickTop="1" x14ac:dyDescent="0.25">
      <c r="B52" s="89">
        <v>59</v>
      </c>
      <c r="C52" s="85">
        <v>101124</v>
      </c>
      <c r="D52" s="111" t="s">
        <v>113</v>
      </c>
      <c r="E52" s="86" t="s">
        <v>95</v>
      </c>
      <c r="F52" s="87">
        <v>23936400</v>
      </c>
      <c r="G52" s="87">
        <f>SUM(H52:AN52)</f>
        <v>23743457.199999999</v>
      </c>
      <c r="H52" s="87"/>
      <c r="I52" s="87"/>
      <c r="J52" s="87"/>
      <c r="K52" s="87"/>
      <c r="L52" s="87"/>
      <c r="M52" s="87"/>
      <c r="N52" s="87">
        <f>4232923.2+1611720+168492.11+1656545.42</f>
        <v>7669680.7300000004</v>
      </c>
      <c r="O52" s="87"/>
      <c r="P52" s="87">
        <f>4195787.26-2710953.78</f>
        <v>1484833.48</v>
      </c>
      <c r="Q52" s="87">
        <v>2710953.78</v>
      </c>
      <c r="R52" s="87">
        <v>2710953.78</v>
      </c>
      <c r="S52" s="87">
        <f>5085951.46+299173.62+60783.63+3575.5+116483.7+6851.98</f>
        <v>5572819.8900000006</v>
      </c>
      <c r="T52" s="87"/>
      <c r="U52" s="87"/>
      <c r="V52" s="87">
        <f>2895199.96+170305.88</f>
        <v>3065505.84</v>
      </c>
      <c r="W52" s="87">
        <f>499337+29372.7</f>
        <v>528709.69999999995</v>
      </c>
      <c r="X52" s="87"/>
      <c r="Y52" s="87"/>
      <c r="Z52" s="87"/>
      <c r="AA52" s="87"/>
      <c r="AB52" s="87"/>
      <c r="AC52" s="87"/>
      <c r="AD52" s="87"/>
      <c r="AE52" s="87"/>
      <c r="AF52" s="87"/>
      <c r="AG52" s="87"/>
      <c r="AH52" s="87"/>
      <c r="AI52" s="87"/>
      <c r="AJ52" s="87"/>
      <c r="AK52" s="87"/>
      <c r="AL52" s="87"/>
      <c r="AM52" s="87"/>
      <c r="AN52" s="87"/>
      <c r="AO52" s="87">
        <v>3594215.56</v>
      </c>
      <c r="AP52" s="88">
        <f t="shared" si="7"/>
        <v>20149241.640000001</v>
      </c>
    </row>
    <row r="53" spans="2:44" ht="31.5" x14ac:dyDescent="0.25">
      <c r="B53" s="60">
        <v>52</v>
      </c>
      <c r="C53" s="61">
        <v>101018</v>
      </c>
      <c r="D53" s="107" t="s">
        <v>113</v>
      </c>
      <c r="E53" s="62" t="s">
        <v>96</v>
      </c>
      <c r="F53" s="63">
        <v>2069560</v>
      </c>
      <c r="G53" s="63">
        <f>SUM(H53:AN53)</f>
        <v>2069559.95</v>
      </c>
      <c r="H53" s="63"/>
      <c r="I53" s="63"/>
      <c r="J53" s="63"/>
      <c r="K53" s="63"/>
      <c r="L53" s="63"/>
      <c r="M53" s="63"/>
      <c r="N53" s="63"/>
      <c r="O53" s="63"/>
      <c r="P53" s="63">
        <v>17545.14</v>
      </c>
      <c r="Q53" s="63">
        <v>12100</v>
      </c>
      <c r="R53" s="63">
        <v>1125645.06</v>
      </c>
      <c r="S53" s="63">
        <v>12100</v>
      </c>
      <c r="T53" s="63">
        <v>12100</v>
      </c>
      <c r="U53" s="63"/>
      <c r="V53" s="63">
        <v>877969.75</v>
      </c>
      <c r="W53" s="63">
        <v>12100</v>
      </c>
      <c r="X53" s="63"/>
      <c r="Y53" s="63"/>
      <c r="Z53" s="63"/>
      <c r="AA53" s="63"/>
      <c r="AB53" s="63"/>
      <c r="AC53" s="63"/>
      <c r="AD53" s="63"/>
      <c r="AE53" s="63"/>
      <c r="AF53" s="63"/>
      <c r="AG53" s="63"/>
      <c r="AH53" s="63"/>
      <c r="AI53" s="63"/>
      <c r="AJ53" s="63"/>
      <c r="AK53" s="63"/>
      <c r="AL53" s="63"/>
      <c r="AM53" s="63"/>
      <c r="AN53" s="63"/>
      <c r="AO53" s="63">
        <v>943914.89</v>
      </c>
      <c r="AP53" s="64">
        <f t="shared" si="7"/>
        <v>1125645.06</v>
      </c>
      <c r="AR53" s="95"/>
    </row>
    <row r="54" spans="2:44" ht="47.25" x14ac:dyDescent="0.25">
      <c r="B54" s="60">
        <v>52</v>
      </c>
      <c r="C54" s="61">
        <v>101151</v>
      </c>
      <c r="D54" s="107" t="s">
        <v>113</v>
      </c>
      <c r="E54" s="62" t="s">
        <v>100</v>
      </c>
      <c r="F54" s="63">
        <v>8811260.8399999999</v>
      </c>
      <c r="G54" s="63">
        <f t="shared" ref="G54:G67" si="8">SUM(H54:AN54)</f>
        <v>4229684.08</v>
      </c>
      <c r="H54" s="63"/>
      <c r="I54" s="63"/>
      <c r="J54" s="63"/>
      <c r="K54" s="63"/>
      <c r="L54" s="63"/>
      <c r="M54" s="63"/>
      <c r="N54" s="63">
        <v>43200</v>
      </c>
      <c r="O54" s="63"/>
      <c r="P54" s="63">
        <f>10890+1352258.13</f>
        <v>1363148.13</v>
      </c>
      <c r="Q54" s="63"/>
      <c r="R54" s="63">
        <f>21251.84+1073449.08</f>
        <v>1094700.9200000002</v>
      </c>
      <c r="S54" s="63">
        <f>817442.6+26565.07</f>
        <v>844007.66999999993</v>
      </c>
      <c r="T54" s="63"/>
      <c r="U54" s="63">
        <v>863375.53</v>
      </c>
      <c r="V54" s="63"/>
      <c r="W54" s="63">
        <v>21251.83</v>
      </c>
      <c r="X54" s="63"/>
      <c r="Y54" s="63"/>
      <c r="Z54" s="63"/>
      <c r="AA54" s="63"/>
      <c r="AB54" s="63"/>
      <c r="AC54" s="63"/>
      <c r="AD54" s="63"/>
      <c r="AE54" s="63"/>
      <c r="AF54" s="63"/>
      <c r="AG54" s="63"/>
      <c r="AH54" s="63"/>
      <c r="AI54" s="63"/>
      <c r="AJ54" s="63"/>
      <c r="AK54" s="63"/>
      <c r="AL54" s="63"/>
      <c r="AM54" s="63"/>
      <c r="AN54" s="63"/>
      <c r="AO54" s="63"/>
      <c r="AP54" s="64">
        <f t="shared" si="7"/>
        <v>4229684.08</v>
      </c>
    </row>
    <row r="55" spans="2:44" ht="15.75" x14ac:dyDescent="0.25">
      <c r="B55" s="65">
        <v>50</v>
      </c>
      <c r="C55" s="66">
        <v>100931</v>
      </c>
      <c r="D55" s="110" t="s">
        <v>113</v>
      </c>
      <c r="E55" s="67" t="s">
        <v>97</v>
      </c>
      <c r="F55" s="68">
        <f>1794250.17+(25.495*1129713.15)</f>
        <v>30596286.929250002</v>
      </c>
      <c r="G55" s="63">
        <f t="shared" si="8"/>
        <v>30596286.93</v>
      </c>
      <c r="H55" s="147"/>
      <c r="I55" s="145"/>
      <c r="J55" s="144"/>
      <c r="K55" s="143"/>
      <c r="L55" s="142"/>
      <c r="M55" s="140"/>
      <c r="N55" s="139"/>
      <c r="O55" s="137"/>
      <c r="P55" s="134"/>
      <c r="Q55" s="124"/>
      <c r="R55" s="123"/>
      <c r="S55" s="115">
        <v>16287677.470000001</v>
      </c>
      <c r="T55" s="103">
        <v>3854869.33</v>
      </c>
      <c r="U55" s="99"/>
      <c r="V55" s="68"/>
      <c r="W55" s="68">
        <v>10453740.130000001</v>
      </c>
      <c r="X55" s="68"/>
      <c r="Y55" s="68"/>
      <c r="Z55" s="68"/>
      <c r="AA55" s="68"/>
      <c r="AB55" s="68"/>
      <c r="AC55" s="68"/>
      <c r="AD55" s="68"/>
      <c r="AE55" s="68"/>
      <c r="AF55" s="68"/>
      <c r="AG55" s="68"/>
      <c r="AH55" s="68"/>
      <c r="AI55" s="68"/>
      <c r="AJ55" s="68"/>
      <c r="AK55" s="68"/>
      <c r="AL55" s="68"/>
      <c r="AM55" s="68"/>
      <c r="AN55" s="68"/>
      <c r="AO55" s="68"/>
      <c r="AP55" s="69">
        <f t="shared" si="7"/>
        <v>30596286.93</v>
      </c>
    </row>
    <row r="56" spans="2:44" ht="31.5" x14ac:dyDescent="0.25">
      <c r="B56" s="96">
        <v>52</v>
      </c>
      <c r="C56" s="66">
        <v>101133</v>
      </c>
      <c r="D56" s="110" t="s">
        <v>113</v>
      </c>
      <c r="E56" s="67" t="s">
        <v>99</v>
      </c>
      <c r="F56" s="97">
        <v>23562987.300000001</v>
      </c>
      <c r="G56" s="63">
        <f t="shared" si="8"/>
        <v>23239650.780000001</v>
      </c>
      <c r="H56" s="147"/>
      <c r="I56" s="145"/>
      <c r="J56" s="144"/>
      <c r="K56" s="143"/>
      <c r="L56" s="142"/>
      <c r="M56" s="140"/>
      <c r="N56" s="139"/>
      <c r="O56" s="137"/>
      <c r="P56" s="134"/>
      <c r="Q56" s="124">
        <v>2477315.7599999998</v>
      </c>
      <c r="R56" s="123">
        <f>978424.93+9152922.73</f>
        <v>10131347.66</v>
      </c>
      <c r="S56" s="115"/>
      <c r="T56" s="103">
        <v>9405532.6400000006</v>
      </c>
      <c r="U56" s="99"/>
      <c r="V56" s="97">
        <v>1225454.72</v>
      </c>
      <c r="W56" s="97"/>
      <c r="X56" s="97"/>
      <c r="Y56" s="97"/>
      <c r="Z56" s="97"/>
      <c r="AA56" s="97"/>
      <c r="AB56" s="97"/>
      <c r="AC56" s="97"/>
      <c r="AD56" s="97"/>
      <c r="AE56" s="97"/>
      <c r="AF56" s="97"/>
      <c r="AG56" s="97"/>
      <c r="AH56" s="97"/>
      <c r="AI56" s="97"/>
      <c r="AJ56" s="97"/>
      <c r="AK56" s="97"/>
      <c r="AL56" s="97"/>
      <c r="AM56" s="97"/>
      <c r="AN56" s="97"/>
      <c r="AO56" s="97">
        <v>23239650.780000001</v>
      </c>
      <c r="AP56" s="98">
        <f t="shared" ref="AP56:AP62" si="9">G56-AO56</f>
        <v>0</v>
      </c>
    </row>
    <row r="57" spans="2:44" ht="31.5" x14ac:dyDescent="0.25">
      <c r="B57" s="96">
        <v>52</v>
      </c>
      <c r="C57" s="66">
        <v>101123</v>
      </c>
      <c r="D57" s="110" t="s">
        <v>113</v>
      </c>
      <c r="E57" s="67" t="s">
        <v>107</v>
      </c>
      <c r="F57" s="97">
        <v>27427807.800000001</v>
      </c>
      <c r="G57" s="63">
        <f t="shared" si="8"/>
        <v>26548295.399999999</v>
      </c>
      <c r="H57" s="147"/>
      <c r="I57" s="145"/>
      <c r="J57" s="144"/>
      <c r="K57" s="143"/>
      <c r="L57" s="142"/>
      <c r="M57" s="140"/>
      <c r="N57" s="139"/>
      <c r="O57" s="137"/>
      <c r="P57" s="134"/>
      <c r="Q57" s="124"/>
      <c r="R57" s="123"/>
      <c r="S57" s="115"/>
      <c r="T57" s="103"/>
      <c r="U57" s="99">
        <v>26548295.399999999</v>
      </c>
      <c r="V57" s="97"/>
      <c r="W57" s="97"/>
      <c r="X57" s="97"/>
      <c r="Y57" s="97"/>
      <c r="Z57" s="97"/>
      <c r="AA57" s="97"/>
      <c r="AB57" s="97"/>
      <c r="AC57" s="97"/>
      <c r="AD57" s="97"/>
      <c r="AE57" s="97"/>
      <c r="AF57" s="97"/>
      <c r="AG57" s="97"/>
      <c r="AH57" s="97"/>
      <c r="AI57" s="97"/>
      <c r="AJ57" s="97"/>
      <c r="AK57" s="97"/>
      <c r="AL57" s="97"/>
      <c r="AM57" s="97"/>
      <c r="AN57" s="97"/>
      <c r="AO57" s="97">
        <v>26548295.399999999</v>
      </c>
      <c r="AP57" s="98">
        <f t="shared" si="9"/>
        <v>0</v>
      </c>
    </row>
    <row r="58" spans="2:44" ht="31.5" x14ac:dyDescent="0.25">
      <c r="B58" s="96">
        <v>59</v>
      </c>
      <c r="C58" s="66">
        <v>101159</v>
      </c>
      <c r="D58" s="110" t="s">
        <v>113</v>
      </c>
      <c r="E58" s="67" t="s">
        <v>108</v>
      </c>
      <c r="F58" s="97">
        <v>7011841.5</v>
      </c>
      <c r="G58" s="63">
        <f t="shared" si="8"/>
        <v>5232409.37</v>
      </c>
      <c r="H58" s="147"/>
      <c r="I58" s="145"/>
      <c r="J58" s="144"/>
      <c r="K58" s="143"/>
      <c r="L58" s="142"/>
      <c r="M58" s="140"/>
      <c r="N58" s="139"/>
      <c r="O58" s="137"/>
      <c r="P58" s="134"/>
      <c r="Q58" s="124"/>
      <c r="R58" s="123"/>
      <c r="S58" s="115">
        <f>3725784.9+433613.66</f>
        <v>4159398.56</v>
      </c>
      <c r="T58" s="103">
        <f>121423.5+897059.01</f>
        <v>1018482.51</v>
      </c>
      <c r="U58" s="99">
        <f>3029.35+51498.95</f>
        <v>54528.299999999996</v>
      </c>
      <c r="V58" s="97"/>
      <c r="W58" s="97"/>
      <c r="X58" s="97"/>
      <c r="Y58" s="97"/>
      <c r="Z58" s="97"/>
      <c r="AA58" s="97"/>
      <c r="AB58" s="97"/>
      <c r="AC58" s="97"/>
      <c r="AD58" s="97"/>
      <c r="AE58" s="97"/>
      <c r="AF58" s="97"/>
      <c r="AG58" s="97"/>
      <c r="AH58" s="97"/>
      <c r="AI58" s="97"/>
      <c r="AJ58" s="97"/>
      <c r="AK58" s="97"/>
      <c r="AL58" s="97"/>
      <c r="AM58" s="97"/>
      <c r="AN58" s="97"/>
      <c r="AO58" s="97">
        <f>951587.31+134128.26+4146693.8</f>
        <v>5232409.37</v>
      </c>
      <c r="AP58" s="98">
        <f t="shared" si="9"/>
        <v>0</v>
      </c>
    </row>
    <row r="59" spans="2:44" ht="31.5" x14ac:dyDescent="0.25">
      <c r="B59" s="96">
        <v>19</v>
      </c>
      <c r="C59" s="66">
        <v>1206</v>
      </c>
      <c r="D59" s="104" t="s">
        <v>128</v>
      </c>
      <c r="E59" s="67" t="s">
        <v>104</v>
      </c>
      <c r="F59" s="97">
        <v>4009489.18</v>
      </c>
      <c r="G59" s="63">
        <f t="shared" si="8"/>
        <v>2905578.8099999996</v>
      </c>
      <c r="H59" s="147"/>
      <c r="I59" s="145"/>
      <c r="J59" s="144"/>
      <c r="K59" s="143"/>
      <c r="L59" s="142"/>
      <c r="M59" s="140"/>
      <c r="N59" s="139">
        <v>504807.3</v>
      </c>
      <c r="O59" s="137"/>
      <c r="P59" s="134"/>
      <c r="Q59" s="124"/>
      <c r="R59" s="123">
        <v>41382</v>
      </c>
      <c r="S59" s="115">
        <v>2318007.5099999998</v>
      </c>
      <c r="T59" s="103"/>
      <c r="U59" s="99">
        <v>41382</v>
      </c>
      <c r="V59" s="97"/>
      <c r="W59" s="97"/>
      <c r="X59" s="97"/>
      <c r="Y59" s="97"/>
      <c r="Z59" s="97"/>
      <c r="AA59" s="97"/>
      <c r="AB59" s="97"/>
      <c r="AC59" s="97"/>
      <c r="AD59" s="97"/>
      <c r="AE59" s="97"/>
      <c r="AF59" s="97"/>
      <c r="AG59" s="97"/>
      <c r="AH59" s="97"/>
      <c r="AI59" s="97"/>
      <c r="AJ59" s="97"/>
      <c r="AK59" s="97"/>
      <c r="AL59" s="97"/>
      <c r="AM59" s="97"/>
      <c r="AN59" s="97"/>
      <c r="AO59" s="97">
        <v>2564326.5</v>
      </c>
      <c r="AP59" s="98">
        <f t="shared" si="9"/>
        <v>341252.30999999959</v>
      </c>
    </row>
    <row r="60" spans="2:44" ht="63" x14ac:dyDescent="0.25">
      <c r="B60" s="101">
        <v>19</v>
      </c>
      <c r="C60" s="66">
        <v>1127</v>
      </c>
      <c r="D60" s="104" t="s">
        <v>129</v>
      </c>
      <c r="E60" s="67" t="s">
        <v>106</v>
      </c>
      <c r="F60" s="102">
        <v>6813999</v>
      </c>
      <c r="G60" s="63">
        <f t="shared" si="8"/>
        <v>6292531.4000000004</v>
      </c>
      <c r="H60" s="147"/>
      <c r="I60" s="145"/>
      <c r="J60" s="144"/>
      <c r="K60" s="143"/>
      <c r="L60" s="142"/>
      <c r="M60" s="140"/>
      <c r="N60" s="139"/>
      <c r="O60" s="137">
        <v>3071578.5</v>
      </c>
      <c r="P60" s="134"/>
      <c r="Q60" s="124"/>
      <c r="R60" s="123"/>
      <c r="S60" s="115">
        <v>1719788</v>
      </c>
      <c r="T60" s="103"/>
      <c r="U60" s="102">
        <v>1501164.9</v>
      </c>
      <c r="V60" s="102"/>
      <c r="W60" s="102"/>
      <c r="X60" s="102"/>
      <c r="Y60" s="102"/>
      <c r="Z60" s="102"/>
      <c r="AA60" s="102"/>
      <c r="AB60" s="102"/>
      <c r="AC60" s="102"/>
      <c r="AD60" s="102"/>
      <c r="AE60" s="102"/>
      <c r="AF60" s="102"/>
      <c r="AG60" s="102"/>
      <c r="AH60" s="102"/>
      <c r="AI60" s="102"/>
      <c r="AJ60" s="102"/>
      <c r="AK60" s="102"/>
      <c r="AL60" s="102"/>
      <c r="AM60" s="102"/>
      <c r="AN60" s="102"/>
      <c r="AO60" s="102"/>
      <c r="AP60" s="98">
        <f t="shared" si="9"/>
        <v>6292531.4000000004</v>
      </c>
    </row>
    <row r="61" spans="2:44" ht="31.5" x14ac:dyDescent="0.25">
      <c r="B61" s="101">
        <v>52</v>
      </c>
      <c r="C61" s="66">
        <v>101140</v>
      </c>
      <c r="D61" s="110" t="s">
        <v>113</v>
      </c>
      <c r="E61" s="67" t="s">
        <v>110</v>
      </c>
      <c r="F61" s="102">
        <v>3674386.5</v>
      </c>
      <c r="G61" s="63">
        <f t="shared" si="8"/>
        <v>2478454.02</v>
      </c>
      <c r="H61" s="147">
        <v>309309.42</v>
      </c>
      <c r="I61" s="145"/>
      <c r="J61" s="144">
        <f>1014417.6+2268</f>
        <v>1016685.6</v>
      </c>
      <c r="K61" s="143">
        <v>2268</v>
      </c>
      <c r="L61" s="142"/>
      <c r="M61" s="140">
        <f>1115499+2268</f>
        <v>1117767</v>
      </c>
      <c r="N61" s="139">
        <v>9324</v>
      </c>
      <c r="O61" s="137"/>
      <c r="P61" s="134"/>
      <c r="Q61" s="124"/>
      <c r="R61" s="123"/>
      <c r="S61" s="105"/>
      <c r="T61" s="103">
        <v>23100</v>
      </c>
      <c r="U61" s="102"/>
      <c r="V61" s="102"/>
      <c r="W61" s="102"/>
      <c r="X61" s="102"/>
      <c r="Y61" s="102"/>
      <c r="Z61" s="102"/>
      <c r="AA61" s="102"/>
      <c r="AB61" s="102"/>
      <c r="AC61" s="102"/>
      <c r="AD61" s="102"/>
      <c r="AE61" s="102"/>
      <c r="AF61" s="102"/>
      <c r="AG61" s="102"/>
      <c r="AH61" s="102"/>
      <c r="AI61" s="102"/>
      <c r="AJ61" s="102"/>
      <c r="AK61" s="102"/>
      <c r="AL61" s="102"/>
      <c r="AM61" s="102"/>
      <c r="AN61" s="102"/>
      <c r="AO61" s="102"/>
      <c r="AP61" s="100">
        <f t="shared" si="9"/>
        <v>2478454.02</v>
      </c>
    </row>
    <row r="62" spans="2:44" ht="15.75" x14ac:dyDescent="0.25">
      <c r="B62" s="118">
        <v>59</v>
      </c>
      <c r="C62" s="66">
        <v>101166</v>
      </c>
      <c r="D62" s="119" t="s">
        <v>113</v>
      </c>
      <c r="E62" s="67" t="s">
        <v>111</v>
      </c>
      <c r="F62" s="117">
        <v>4708034.0999999996</v>
      </c>
      <c r="G62" s="63">
        <f t="shared" si="8"/>
        <v>4262722.2</v>
      </c>
      <c r="H62" s="147"/>
      <c r="I62" s="145"/>
      <c r="J62" s="144"/>
      <c r="K62" s="143"/>
      <c r="L62" s="142"/>
      <c r="M62" s="140"/>
      <c r="N62" s="139"/>
      <c r="O62" s="137"/>
      <c r="P62" s="134"/>
      <c r="Q62" s="124"/>
      <c r="R62" s="123"/>
      <c r="S62" s="117"/>
      <c r="T62" s="117">
        <f>555390+3707332.2</f>
        <v>4262722.2</v>
      </c>
      <c r="U62" s="117"/>
      <c r="V62" s="117"/>
      <c r="W62" s="117"/>
      <c r="X62" s="117"/>
      <c r="Y62" s="117"/>
      <c r="Z62" s="117"/>
      <c r="AA62" s="117"/>
      <c r="AB62" s="117"/>
      <c r="AC62" s="117"/>
      <c r="AD62" s="117"/>
      <c r="AE62" s="117"/>
      <c r="AF62" s="117"/>
      <c r="AG62" s="117"/>
      <c r="AH62" s="117"/>
      <c r="AI62" s="117"/>
      <c r="AJ62" s="117"/>
      <c r="AK62" s="117"/>
      <c r="AL62" s="117"/>
      <c r="AM62" s="117"/>
      <c r="AN62" s="117"/>
      <c r="AO62" s="117"/>
      <c r="AP62" s="100">
        <f t="shared" si="9"/>
        <v>4262722.2</v>
      </c>
    </row>
    <row r="63" spans="2:44" ht="31.5" x14ac:dyDescent="0.25">
      <c r="B63" s="120">
        <v>59</v>
      </c>
      <c r="C63" s="66">
        <v>101258</v>
      </c>
      <c r="D63" s="122" t="s">
        <v>113</v>
      </c>
      <c r="E63" s="67" t="s">
        <v>131</v>
      </c>
      <c r="F63" s="121">
        <v>6289074</v>
      </c>
      <c r="G63" s="63">
        <f t="shared" si="8"/>
        <v>6053436.120000001</v>
      </c>
      <c r="H63" s="147"/>
      <c r="I63" s="145"/>
      <c r="J63" s="144"/>
      <c r="K63" s="143"/>
      <c r="L63" s="142">
        <f>283857.3+233146.8+365313.53+420192.51</f>
        <v>1302510.1400000001</v>
      </c>
      <c r="M63" s="140"/>
      <c r="N63" s="139">
        <f>44226+44787.6+1413291.11+130510.05</f>
        <v>1632814.7600000002</v>
      </c>
      <c r="O63" s="137">
        <v>1171868.3999999999</v>
      </c>
      <c r="P63" s="134">
        <f>1259933.54+74052+139936.5+153298.8</f>
        <v>1627220.84</v>
      </c>
      <c r="Q63" s="124"/>
      <c r="R63" s="123">
        <f>267227.13+51794.85</f>
        <v>319021.98</v>
      </c>
      <c r="S63" s="121"/>
      <c r="T63" s="121"/>
      <c r="U63" s="121"/>
      <c r="V63" s="121"/>
      <c r="W63" s="121"/>
      <c r="X63" s="121"/>
      <c r="Y63" s="121"/>
      <c r="Z63" s="121"/>
      <c r="AA63" s="121"/>
      <c r="AB63" s="121"/>
      <c r="AC63" s="121"/>
      <c r="AD63" s="121"/>
      <c r="AE63" s="121"/>
      <c r="AF63" s="121"/>
      <c r="AG63" s="121"/>
      <c r="AH63" s="121"/>
      <c r="AI63" s="121"/>
      <c r="AJ63" s="121"/>
      <c r="AK63" s="121"/>
      <c r="AL63" s="121"/>
      <c r="AM63" s="121"/>
      <c r="AN63" s="121"/>
      <c r="AO63" s="121"/>
      <c r="AP63" s="116">
        <f>G63-AO63</f>
        <v>6053436.120000001</v>
      </c>
    </row>
    <row r="64" spans="2:44" ht="31.5" x14ac:dyDescent="0.25">
      <c r="B64" s="60">
        <v>52</v>
      </c>
      <c r="C64" s="61">
        <v>101252</v>
      </c>
      <c r="D64" s="107" t="s">
        <v>113</v>
      </c>
      <c r="E64" s="62" t="s">
        <v>132</v>
      </c>
      <c r="F64" s="63">
        <v>1974726.6</v>
      </c>
      <c r="G64" s="63">
        <f t="shared" si="8"/>
        <v>1810574.5</v>
      </c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>
        <v>1810574.5</v>
      </c>
      <c r="S64" s="63"/>
      <c r="T64" s="63"/>
      <c r="U64" s="63"/>
      <c r="V64" s="63"/>
      <c r="W64" s="63"/>
      <c r="X64" s="63"/>
      <c r="Y64" s="63"/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63"/>
      <c r="AO64" s="63">
        <v>1810574.3</v>
      </c>
      <c r="AP64" s="64">
        <f>G64-AO64</f>
        <v>0.19999999995343387</v>
      </c>
    </row>
    <row r="65" spans="2:42" ht="47.25" x14ac:dyDescent="0.25">
      <c r="B65" s="60">
        <v>52</v>
      </c>
      <c r="C65" s="61">
        <v>101217</v>
      </c>
      <c r="D65" s="107" t="s">
        <v>113</v>
      </c>
      <c r="E65" s="62" t="s">
        <v>134</v>
      </c>
      <c r="F65" s="63">
        <v>2854682.6</v>
      </c>
      <c r="G65" s="63">
        <f t="shared" si="8"/>
        <v>19387.34</v>
      </c>
      <c r="H65" s="63"/>
      <c r="I65" s="63"/>
      <c r="J65" s="63"/>
      <c r="K65" s="63"/>
      <c r="L65" s="63"/>
      <c r="M65" s="63"/>
      <c r="N65" s="63"/>
      <c r="O65" s="63"/>
      <c r="P65" s="63"/>
      <c r="Q65" s="63">
        <v>19387.34</v>
      </c>
      <c r="R65" s="63"/>
      <c r="S65" s="63"/>
      <c r="T65" s="63"/>
      <c r="U65" s="63"/>
      <c r="V65" s="63"/>
      <c r="W65" s="63"/>
      <c r="X65" s="63"/>
      <c r="Y65" s="63"/>
      <c r="Z65" s="63"/>
      <c r="AA65" s="63"/>
      <c r="AB65" s="63"/>
      <c r="AC65" s="63"/>
      <c r="AD65" s="63"/>
      <c r="AE65" s="63"/>
      <c r="AF65" s="63"/>
      <c r="AG65" s="63"/>
      <c r="AH65" s="63"/>
      <c r="AI65" s="63"/>
      <c r="AJ65" s="63"/>
      <c r="AK65" s="63"/>
      <c r="AL65" s="63"/>
      <c r="AM65" s="63"/>
      <c r="AN65" s="63"/>
      <c r="AO65" s="63"/>
      <c r="AP65" s="64">
        <f t="shared" ref="AP65:AP69" si="10">G65-AO65</f>
        <v>19387.34</v>
      </c>
    </row>
    <row r="66" spans="2:42" ht="47.25" x14ac:dyDescent="0.25">
      <c r="B66" s="127">
        <v>52</v>
      </c>
      <c r="C66" s="66">
        <v>101317</v>
      </c>
      <c r="D66" s="128" t="s">
        <v>113</v>
      </c>
      <c r="E66" s="67" t="s">
        <v>135</v>
      </c>
      <c r="F66" s="126">
        <v>2503081.2000000002</v>
      </c>
      <c r="G66" s="63">
        <f t="shared" si="8"/>
        <v>12657.15</v>
      </c>
      <c r="H66" s="147"/>
      <c r="I66" s="145"/>
      <c r="J66" s="144"/>
      <c r="K66" s="143"/>
      <c r="L66" s="142"/>
      <c r="M66" s="140"/>
      <c r="N66" s="139"/>
      <c r="O66" s="137"/>
      <c r="P66" s="134"/>
      <c r="Q66" s="126">
        <v>12657.15</v>
      </c>
      <c r="R66" s="126"/>
      <c r="S66" s="126"/>
      <c r="T66" s="126"/>
      <c r="U66" s="126"/>
      <c r="V66" s="126"/>
      <c r="W66" s="126"/>
      <c r="X66" s="126"/>
      <c r="Y66" s="126"/>
      <c r="Z66" s="126"/>
      <c r="AA66" s="126"/>
      <c r="AB66" s="126"/>
      <c r="AC66" s="126"/>
      <c r="AD66" s="126"/>
      <c r="AE66" s="126"/>
      <c r="AF66" s="126"/>
      <c r="AG66" s="126"/>
      <c r="AH66" s="126"/>
      <c r="AI66" s="126"/>
      <c r="AJ66" s="126"/>
      <c r="AK66" s="126"/>
      <c r="AL66" s="126"/>
      <c r="AM66" s="126"/>
      <c r="AN66" s="126"/>
      <c r="AO66" s="126"/>
      <c r="AP66" s="125">
        <f t="shared" si="10"/>
        <v>12657.15</v>
      </c>
    </row>
    <row r="67" spans="2:42" ht="15.75" x14ac:dyDescent="0.25">
      <c r="B67" s="129">
        <v>59</v>
      </c>
      <c r="C67" s="66">
        <v>101240</v>
      </c>
      <c r="D67" s="131" t="s">
        <v>113</v>
      </c>
      <c r="E67" s="67" t="s">
        <v>137</v>
      </c>
      <c r="F67" s="130">
        <v>2250000</v>
      </c>
      <c r="G67" s="63">
        <f t="shared" si="8"/>
        <v>2176911</v>
      </c>
      <c r="H67" s="147"/>
      <c r="I67" s="145"/>
      <c r="J67" s="144"/>
      <c r="K67" s="143"/>
      <c r="L67" s="142"/>
      <c r="M67" s="140"/>
      <c r="N67" s="139"/>
      <c r="O67" s="137"/>
      <c r="P67" s="134">
        <v>2176911</v>
      </c>
      <c r="Q67" s="130"/>
      <c r="R67" s="130"/>
      <c r="S67" s="130"/>
      <c r="T67" s="130"/>
      <c r="U67" s="130"/>
      <c r="V67" s="130"/>
      <c r="W67" s="130"/>
      <c r="X67" s="130"/>
      <c r="Y67" s="130"/>
      <c r="Z67" s="130"/>
      <c r="AA67" s="130"/>
      <c r="AB67" s="130"/>
      <c r="AC67" s="130"/>
      <c r="AD67" s="130"/>
      <c r="AE67" s="130"/>
      <c r="AF67" s="130"/>
      <c r="AG67" s="130"/>
      <c r="AH67" s="130"/>
      <c r="AI67" s="130"/>
      <c r="AJ67" s="130"/>
      <c r="AK67" s="130"/>
      <c r="AL67" s="130"/>
      <c r="AM67" s="130"/>
      <c r="AN67" s="130"/>
      <c r="AO67" s="130">
        <v>2176911</v>
      </c>
      <c r="AP67" s="125">
        <f t="shared" si="10"/>
        <v>0</v>
      </c>
    </row>
    <row r="68" spans="2:42" ht="31.5" x14ac:dyDescent="0.25">
      <c r="B68" s="148">
        <v>19</v>
      </c>
      <c r="C68" s="66">
        <v>1104</v>
      </c>
      <c r="D68" s="151" t="s">
        <v>138</v>
      </c>
      <c r="E68" s="67" t="s">
        <v>139</v>
      </c>
      <c r="F68" s="149">
        <v>2842597.8</v>
      </c>
      <c r="G68" s="130">
        <f>SUM(H68:AN68)</f>
        <v>2335150.96</v>
      </c>
      <c r="H68" s="147"/>
      <c r="I68" s="145"/>
      <c r="J68" s="144"/>
      <c r="K68" s="143"/>
      <c r="L68" s="142"/>
      <c r="M68" s="140"/>
      <c r="N68" s="139"/>
      <c r="O68" s="137"/>
      <c r="P68" s="149">
        <v>2335150.96</v>
      </c>
      <c r="Q68" s="149"/>
      <c r="R68" s="149"/>
      <c r="S68" s="149"/>
      <c r="T68" s="149"/>
      <c r="U68" s="149"/>
      <c r="V68" s="149"/>
      <c r="W68" s="149"/>
      <c r="X68" s="149"/>
      <c r="Y68" s="149"/>
      <c r="Z68" s="149"/>
      <c r="AA68" s="149"/>
      <c r="AB68" s="149"/>
      <c r="AC68" s="149"/>
      <c r="AD68" s="149"/>
      <c r="AE68" s="149"/>
      <c r="AF68" s="149"/>
      <c r="AG68" s="149"/>
      <c r="AH68" s="149"/>
      <c r="AI68" s="149"/>
      <c r="AJ68" s="149"/>
      <c r="AK68" s="149"/>
      <c r="AL68" s="149"/>
      <c r="AM68" s="149"/>
      <c r="AN68" s="149"/>
      <c r="AO68" s="149">
        <v>2335150.96</v>
      </c>
      <c r="AP68" s="132">
        <f t="shared" si="10"/>
        <v>0</v>
      </c>
    </row>
    <row r="69" spans="2:42" ht="32.25" thickBot="1" x14ac:dyDescent="0.3">
      <c r="B69" s="152">
        <v>59</v>
      </c>
      <c r="C69" s="153">
        <v>101234</v>
      </c>
      <c r="D69" s="154" t="s">
        <v>113</v>
      </c>
      <c r="E69" s="155" t="s">
        <v>149</v>
      </c>
      <c r="F69" s="156">
        <v>5288099.4000000004</v>
      </c>
      <c r="G69" s="149">
        <f>SUM(H69:AN69)</f>
        <v>2300265.36</v>
      </c>
      <c r="H69" s="156">
        <v>2300265.36</v>
      </c>
      <c r="I69" s="156"/>
      <c r="J69" s="156"/>
      <c r="K69" s="156"/>
      <c r="L69" s="156"/>
      <c r="M69" s="156"/>
      <c r="N69" s="156"/>
      <c r="O69" s="156"/>
      <c r="P69" s="156"/>
      <c r="Q69" s="156"/>
      <c r="R69" s="156"/>
      <c r="S69" s="156"/>
      <c r="T69" s="156"/>
      <c r="U69" s="156"/>
      <c r="V69" s="156"/>
      <c r="W69" s="156"/>
      <c r="X69" s="156"/>
      <c r="Y69" s="156"/>
      <c r="Z69" s="156"/>
      <c r="AA69" s="156"/>
      <c r="AB69" s="156"/>
      <c r="AC69" s="156"/>
      <c r="AD69" s="156"/>
      <c r="AE69" s="156"/>
      <c r="AF69" s="156"/>
      <c r="AG69" s="156"/>
      <c r="AH69" s="156"/>
      <c r="AI69" s="156"/>
      <c r="AJ69" s="156"/>
      <c r="AK69" s="156"/>
      <c r="AL69" s="156"/>
      <c r="AM69" s="156"/>
      <c r="AN69" s="156"/>
      <c r="AO69" s="156"/>
      <c r="AP69" s="150">
        <f t="shared" si="10"/>
        <v>2300265.36</v>
      </c>
    </row>
    <row r="70" spans="2:42" ht="20.100000000000001" customHeight="1" thickTop="1" thickBot="1" x14ac:dyDescent="0.3">
      <c r="B70" s="81"/>
      <c r="C70" s="82"/>
      <c r="D70" s="82"/>
      <c r="E70" s="82"/>
      <c r="F70" s="83">
        <f>SUM(F4:F69)</f>
        <v>1377755791.8392498</v>
      </c>
      <c r="G70" s="83">
        <f>SUM(G4:G69)</f>
        <v>942906531.23999989</v>
      </c>
      <c r="H70" s="83">
        <f>SUM(H4:H69)</f>
        <v>4417253.9800000004</v>
      </c>
      <c r="I70" s="83">
        <f>SUM(I4:I68)</f>
        <v>9966681.7200000007</v>
      </c>
      <c r="J70" s="83">
        <f t="shared" ref="J70:O70" si="11">SUM(J4:J68)</f>
        <v>9698266.3599999994</v>
      </c>
      <c r="K70" s="83">
        <f t="shared" si="11"/>
        <v>8594659.75</v>
      </c>
      <c r="L70" s="83">
        <f t="shared" si="11"/>
        <v>1304905.9400000002</v>
      </c>
      <c r="M70" s="83">
        <f t="shared" si="11"/>
        <v>10914675.17</v>
      </c>
      <c r="N70" s="83">
        <f t="shared" si="11"/>
        <v>29312816.630000006</v>
      </c>
      <c r="O70" s="83">
        <f t="shared" si="11"/>
        <v>10199294.83</v>
      </c>
      <c r="P70" s="83">
        <f t="shared" ref="P70:AN70" si="12">SUM(P4:P68)</f>
        <v>43250051.13000001</v>
      </c>
      <c r="Q70" s="83">
        <f t="shared" si="12"/>
        <v>19218115.23</v>
      </c>
      <c r="R70" s="83">
        <f t="shared" si="12"/>
        <v>47037920.500000007</v>
      </c>
      <c r="S70" s="83">
        <f t="shared" si="12"/>
        <v>54193399.359999999</v>
      </c>
      <c r="T70" s="83">
        <f t="shared" si="12"/>
        <v>73354204.99000001</v>
      </c>
      <c r="U70" s="83">
        <f t="shared" si="12"/>
        <v>34276098.340000004</v>
      </c>
      <c r="V70" s="83">
        <f t="shared" si="12"/>
        <v>33723490.390000001</v>
      </c>
      <c r="W70" s="83">
        <f t="shared" si="12"/>
        <v>34962249.579999998</v>
      </c>
      <c r="X70" s="83">
        <f t="shared" si="12"/>
        <v>68195259.400000006</v>
      </c>
      <c r="Y70" s="83">
        <f t="shared" si="12"/>
        <v>19919223.909999996</v>
      </c>
      <c r="Z70" s="83">
        <f t="shared" si="12"/>
        <v>53366828.850000001</v>
      </c>
      <c r="AA70" s="83">
        <f t="shared" si="12"/>
        <v>25764997.969999999</v>
      </c>
      <c r="AB70" s="83">
        <f t="shared" si="12"/>
        <v>56876644.520000003</v>
      </c>
      <c r="AC70" s="83">
        <f t="shared" si="12"/>
        <v>55694756.119999997</v>
      </c>
      <c r="AD70" s="83">
        <f t="shared" si="12"/>
        <v>3693296.3600000003</v>
      </c>
      <c r="AE70" s="83">
        <f t="shared" si="12"/>
        <v>894272.2</v>
      </c>
      <c r="AF70" s="83">
        <f t="shared" si="12"/>
        <v>17376.990000000002</v>
      </c>
      <c r="AG70" s="83">
        <f t="shared" si="12"/>
        <v>16414704.029999999</v>
      </c>
      <c r="AH70" s="83">
        <f t="shared" si="12"/>
        <v>3244919.44</v>
      </c>
      <c r="AI70" s="83">
        <f t="shared" si="12"/>
        <v>30566884.609999999</v>
      </c>
      <c r="AJ70" s="83">
        <f t="shared" si="12"/>
        <v>18250721.109999999</v>
      </c>
      <c r="AK70" s="83">
        <f t="shared" si="12"/>
        <v>19474817.859999999</v>
      </c>
      <c r="AL70" s="83">
        <f t="shared" si="12"/>
        <v>59854153.43</v>
      </c>
      <c r="AM70" s="83">
        <f t="shared" si="12"/>
        <v>37393590.539999999</v>
      </c>
      <c r="AN70" s="83">
        <f t="shared" si="12"/>
        <v>48860000</v>
      </c>
      <c r="AO70" s="83">
        <f>SUM(AO4:AO69)</f>
        <v>684297196.14999986</v>
      </c>
      <c r="AP70" s="133">
        <f>SUM(AP4:AP69)</f>
        <v>258609335.09000006</v>
      </c>
    </row>
    <row r="71" spans="2:42" ht="24.75" customHeight="1" thickTop="1" thickBot="1" x14ac:dyDescent="0.3">
      <c r="B71" s="169" t="s">
        <v>40</v>
      </c>
      <c r="C71" s="170"/>
      <c r="D71" s="170"/>
      <c r="E71" s="170"/>
      <c r="F71" s="170"/>
      <c r="G71" s="170"/>
      <c r="H71" s="170"/>
      <c r="I71" s="170"/>
      <c r="J71" s="170"/>
      <c r="K71" s="170"/>
      <c r="L71" s="170"/>
      <c r="M71" s="170"/>
      <c r="N71" s="170"/>
      <c r="O71" s="170"/>
      <c r="P71" s="170"/>
      <c r="Q71" s="170"/>
      <c r="R71" s="170"/>
      <c r="S71" s="170"/>
      <c r="T71" s="170"/>
      <c r="U71" s="170"/>
      <c r="V71" s="170"/>
      <c r="W71" s="170"/>
      <c r="X71" s="170"/>
      <c r="Y71" s="170"/>
      <c r="Z71" s="170"/>
      <c r="AA71" s="170"/>
      <c r="AB71" s="170"/>
      <c r="AC71" s="170"/>
      <c r="AD71" s="170"/>
      <c r="AE71" s="170"/>
      <c r="AF71" s="170"/>
      <c r="AG71" s="170"/>
      <c r="AH71" s="170"/>
      <c r="AI71" s="170"/>
      <c r="AJ71" s="170"/>
      <c r="AK71" s="170"/>
      <c r="AL71" s="170"/>
      <c r="AM71" s="170"/>
      <c r="AN71" s="170"/>
      <c r="AO71" s="170"/>
      <c r="AP71" s="84">
        <f>600000000-AP70</f>
        <v>341390664.90999997</v>
      </c>
    </row>
    <row r="72" spans="2:42" ht="15.75" thickTop="1" x14ac:dyDescent="0.25"/>
    <row r="73" spans="2:42" x14ac:dyDescent="0.25">
      <c r="AO73" s="95"/>
    </row>
    <row r="74" spans="2:42" x14ac:dyDescent="0.25">
      <c r="G74" s="95"/>
      <c r="H74" s="95"/>
      <c r="I74" s="95"/>
      <c r="J74" s="95"/>
      <c r="K74" s="95"/>
      <c r="L74" s="95"/>
      <c r="M74" s="95"/>
      <c r="N74" s="95"/>
      <c r="O74" s="95"/>
      <c r="P74" s="95"/>
      <c r="Q74" s="95"/>
      <c r="R74" s="95"/>
    </row>
  </sheetData>
  <mergeCells count="50">
    <mergeCell ref="B2:B3"/>
    <mergeCell ref="F2:F3"/>
    <mergeCell ref="AK2:AK3"/>
    <mergeCell ref="AL2:AL3"/>
    <mergeCell ref="AM2:AM3"/>
    <mergeCell ref="AJ2:AJ3"/>
    <mergeCell ref="AI2:AI3"/>
    <mergeCell ref="S2:S3"/>
    <mergeCell ref="D2:D3"/>
    <mergeCell ref="B71:AO71"/>
    <mergeCell ref="B1:F1"/>
    <mergeCell ref="AO2:AO3"/>
    <mergeCell ref="M2:M3"/>
    <mergeCell ref="L2:L3"/>
    <mergeCell ref="Z2:Z3"/>
    <mergeCell ref="I2:I3"/>
    <mergeCell ref="J2:J3"/>
    <mergeCell ref="U2:U3"/>
    <mergeCell ref="E40:E41"/>
    <mergeCell ref="B40:B41"/>
    <mergeCell ref="F40:F41"/>
    <mergeCell ref="G40:G41"/>
    <mergeCell ref="T2:T3"/>
    <mergeCell ref="G2:G3"/>
    <mergeCell ref="C2:C3"/>
    <mergeCell ref="AP40:AP41"/>
    <mergeCell ref="V2:V3"/>
    <mergeCell ref="W2:W3"/>
    <mergeCell ref="X2:X3"/>
    <mergeCell ref="Y2:Y3"/>
    <mergeCell ref="AA2:AA3"/>
    <mergeCell ref="AF2:AF3"/>
    <mergeCell ref="AB2:AB3"/>
    <mergeCell ref="AH2:AH3"/>
    <mergeCell ref="AG2:AG3"/>
    <mergeCell ref="AE2:AE3"/>
    <mergeCell ref="AC2:AC3"/>
    <mergeCell ref="AD2:AD3"/>
    <mergeCell ref="AO40:AO41"/>
    <mergeCell ref="AP2:AP3"/>
    <mergeCell ref="AN2:AN3"/>
    <mergeCell ref="D40:D41"/>
    <mergeCell ref="R2:R3"/>
    <mergeCell ref="Q2:Q3"/>
    <mergeCell ref="P2:P3"/>
    <mergeCell ref="O2:O3"/>
    <mergeCell ref="N2:N3"/>
    <mergeCell ref="K2:K3"/>
    <mergeCell ref="E2:E3"/>
    <mergeCell ref="H2:H3"/>
  </mergeCells>
  <pageMargins left="0.70866141732283472" right="0.70866141732283472" top="0.39370078740157483" bottom="0.78740157480314965" header="0.31496062992125984" footer="0.31496062992125984"/>
  <pageSetup paperSize="9" scale="63" firstPageNumber="4" fitToHeight="0" orientation="landscape" useFirstPageNumber="1" r:id="rId1"/>
  <headerFooter>
    <oddFooter>&amp;LZastupitelstvo Olomouckého kraje 29. 04. 2019
5.3.1. - Rozpočet Olomouckého kraje 2019 - čerpání revolvingového úvěru KB - DODATEK
Příloha č. 2 - přehled revolvingového úvěru&amp;RStrana &amp;P (celkem 6)</oddFooter>
  </headerFooter>
  <rowBreaks count="2" manualBreakCount="2">
    <brk id="28" min="1" max="24" man="1"/>
    <brk id="51" min="1" max="30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27"/>
  <sheetViews>
    <sheetView zoomScale="90" zoomScaleNormal="90" workbookViewId="0">
      <selection sqref="A1:G1"/>
    </sheetView>
  </sheetViews>
  <sheetFormatPr defaultRowHeight="15" x14ac:dyDescent="0.2"/>
  <cols>
    <col min="1" max="1" width="11.42578125" style="6" customWidth="1"/>
    <col min="2" max="2" width="6.7109375" style="6" customWidth="1"/>
    <col min="3" max="3" width="9.28515625" style="6" customWidth="1"/>
    <col min="4" max="4" width="9.7109375" style="6" customWidth="1"/>
    <col min="5" max="5" width="37.85546875" style="39" customWidth="1"/>
    <col min="6" max="6" width="16.85546875" style="6" customWidth="1"/>
    <col min="7" max="7" width="15" style="6" customWidth="1"/>
    <col min="8" max="8" width="19.5703125" style="6" customWidth="1"/>
    <col min="9" max="10" width="15.7109375" style="6" customWidth="1"/>
    <col min="11" max="11" width="16.42578125" style="6" customWidth="1"/>
    <col min="12" max="12" width="12.7109375" style="6" bestFit="1" customWidth="1"/>
    <col min="13" max="13" width="14.140625" style="6" customWidth="1"/>
    <col min="14" max="16384" width="9.140625" style="6"/>
  </cols>
  <sheetData>
    <row r="1" spans="1:13" s="4" customFormat="1" ht="15.75" x14ac:dyDescent="0.25">
      <c r="A1" s="200" t="s">
        <v>25</v>
      </c>
      <c r="B1" s="200"/>
      <c r="C1" s="200"/>
      <c r="D1" s="200"/>
      <c r="E1" s="200"/>
      <c r="F1" s="200"/>
      <c r="G1" s="200"/>
      <c r="H1" s="2"/>
      <c r="I1" s="2"/>
      <c r="J1" s="2"/>
      <c r="K1" s="3"/>
    </row>
    <row r="2" spans="1:13" s="4" customFormat="1" ht="15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3"/>
    </row>
    <row r="3" spans="1:13" ht="16.5" thickBot="1" x14ac:dyDescent="0.3">
      <c r="A3" s="2"/>
      <c r="B3" s="2"/>
      <c r="C3" s="2"/>
      <c r="D3" s="2"/>
      <c r="E3" s="2"/>
      <c r="F3" s="2"/>
      <c r="G3" s="2"/>
      <c r="H3" s="2"/>
      <c r="I3" s="2"/>
      <c r="J3" s="2"/>
      <c r="K3" s="5"/>
      <c r="M3" s="3" t="s">
        <v>11</v>
      </c>
    </row>
    <row r="4" spans="1:13" ht="32.25" customHeight="1" x14ac:dyDescent="0.2">
      <c r="A4" s="183" t="s">
        <v>0</v>
      </c>
      <c r="B4" s="185" t="s">
        <v>5</v>
      </c>
      <c r="C4" s="185" t="s">
        <v>6</v>
      </c>
      <c r="D4" s="187" t="s">
        <v>10</v>
      </c>
      <c r="E4" s="187" t="s">
        <v>1</v>
      </c>
      <c r="F4" s="195" t="s">
        <v>4</v>
      </c>
      <c r="G4" s="187" t="s">
        <v>7</v>
      </c>
      <c r="H4" s="191" t="s">
        <v>3</v>
      </c>
      <c r="I4" s="187" t="s">
        <v>9</v>
      </c>
      <c r="J4" s="187" t="s">
        <v>12</v>
      </c>
      <c r="K4" s="187" t="s">
        <v>8</v>
      </c>
      <c r="L4" s="193" t="s">
        <v>13</v>
      </c>
      <c r="M4" s="189" t="s">
        <v>14</v>
      </c>
    </row>
    <row r="5" spans="1:13" ht="39" customHeight="1" thickBot="1" x14ac:dyDescent="0.25">
      <c r="A5" s="184"/>
      <c r="B5" s="186"/>
      <c r="C5" s="186"/>
      <c r="D5" s="188"/>
      <c r="E5" s="188"/>
      <c r="F5" s="196"/>
      <c r="G5" s="188"/>
      <c r="H5" s="192"/>
      <c r="I5" s="188"/>
      <c r="J5" s="188"/>
      <c r="K5" s="188"/>
      <c r="L5" s="194"/>
      <c r="M5" s="190"/>
    </row>
    <row r="6" spans="1:13" ht="30" x14ac:dyDescent="0.2">
      <c r="A6" s="7">
        <v>100916</v>
      </c>
      <c r="B6" s="8">
        <v>50</v>
      </c>
      <c r="C6" s="8">
        <v>2212</v>
      </c>
      <c r="D6" s="8">
        <v>61</v>
      </c>
      <c r="E6" s="9" t="s">
        <v>15</v>
      </c>
      <c r="F6" s="10">
        <v>60163</v>
      </c>
      <c r="G6" s="10">
        <v>55924</v>
      </c>
      <c r="H6" s="11">
        <v>27962</v>
      </c>
      <c r="I6" s="11">
        <v>4239</v>
      </c>
      <c r="J6" s="12">
        <f>(I6/F6)</f>
        <v>7.0458587503947609E-2</v>
      </c>
      <c r="K6" s="13">
        <f>H6+I6</f>
        <v>32201</v>
      </c>
      <c r="L6" s="14">
        <v>2299</v>
      </c>
      <c r="M6" s="15">
        <f>I6-L6</f>
        <v>1940</v>
      </c>
    </row>
    <row r="7" spans="1:13" ht="35.25" customHeight="1" x14ac:dyDescent="0.2">
      <c r="A7" s="16">
        <v>100932</v>
      </c>
      <c r="B7" s="17">
        <v>50</v>
      </c>
      <c r="C7" s="18">
        <v>3122</v>
      </c>
      <c r="D7" s="18">
        <v>61</v>
      </c>
      <c r="E7" s="19" t="s">
        <v>16</v>
      </c>
      <c r="F7" s="20">
        <v>6191</v>
      </c>
      <c r="G7" s="20">
        <v>5341</v>
      </c>
      <c r="H7" s="21">
        <v>1602</v>
      </c>
      <c r="I7" s="21">
        <f>281+569</f>
        <v>850</v>
      </c>
      <c r="J7" s="12">
        <f>(I7/F7)</f>
        <v>0.13729607494750445</v>
      </c>
      <c r="K7" s="22">
        <f>H7+I7</f>
        <v>2452</v>
      </c>
      <c r="L7" s="23">
        <f>69+781</f>
        <v>850</v>
      </c>
      <c r="M7" s="24">
        <f>I7-L7</f>
        <v>0</v>
      </c>
    </row>
    <row r="8" spans="1:13" ht="30" x14ac:dyDescent="0.2">
      <c r="A8" s="16">
        <v>100934</v>
      </c>
      <c r="B8" s="17">
        <v>50</v>
      </c>
      <c r="C8" s="18">
        <v>3122</v>
      </c>
      <c r="D8" s="18">
        <v>61</v>
      </c>
      <c r="E8" s="19" t="s">
        <v>17</v>
      </c>
      <c r="F8" s="20">
        <v>22588</v>
      </c>
      <c r="G8" s="20">
        <v>19620</v>
      </c>
      <c r="H8" s="21">
        <v>5886</v>
      </c>
      <c r="I8" s="21">
        <f>1033+1935</f>
        <v>2968</v>
      </c>
      <c r="J8" s="12">
        <f>(I8/F8)</f>
        <v>0.13139720205418806</v>
      </c>
      <c r="K8" s="22">
        <f>H8+I8</f>
        <v>8854</v>
      </c>
      <c r="L8" s="23">
        <f>156+2812</f>
        <v>2968</v>
      </c>
      <c r="M8" s="24">
        <f>I8-L8</f>
        <v>0</v>
      </c>
    </row>
    <row r="9" spans="1:13" ht="30" x14ac:dyDescent="0.2">
      <c r="A9" s="16">
        <v>100965</v>
      </c>
      <c r="B9" s="17">
        <v>50</v>
      </c>
      <c r="C9" s="18">
        <v>3122</v>
      </c>
      <c r="D9" s="18">
        <v>61</v>
      </c>
      <c r="E9" s="19" t="s">
        <v>18</v>
      </c>
      <c r="F9" s="20">
        <v>12328</v>
      </c>
      <c r="G9" s="20">
        <v>11105</v>
      </c>
      <c r="H9" s="25">
        <v>3332</v>
      </c>
      <c r="I9" s="21">
        <f>584+638</f>
        <v>1222</v>
      </c>
      <c r="J9" s="12">
        <f>(I9/F9)</f>
        <v>9.9123945489941592E-2</v>
      </c>
      <c r="K9" s="22">
        <f>H9+I9</f>
        <v>4554</v>
      </c>
      <c r="L9" s="23">
        <f>61+1161</f>
        <v>1222</v>
      </c>
      <c r="M9" s="24">
        <f>I9-L9</f>
        <v>0</v>
      </c>
    </row>
    <row r="10" spans="1:13" ht="48.75" customHeight="1" thickBot="1" x14ac:dyDescent="0.25">
      <c r="A10" s="26">
        <v>100883</v>
      </c>
      <c r="B10" s="27">
        <v>52</v>
      </c>
      <c r="C10" s="27">
        <v>3121</v>
      </c>
      <c r="D10" s="27">
        <v>61</v>
      </c>
      <c r="E10" s="28" t="s">
        <v>19</v>
      </c>
      <c r="F10" s="29">
        <v>40427</v>
      </c>
      <c r="G10" s="29">
        <v>16830</v>
      </c>
      <c r="H10" s="30">
        <v>0</v>
      </c>
      <c r="I10" s="30">
        <v>23597</v>
      </c>
      <c r="J10" s="31">
        <f>(I10/F10)</f>
        <v>0.58369406584708239</v>
      </c>
      <c r="K10" s="32">
        <f>H10+I10</f>
        <v>23597</v>
      </c>
      <c r="L10" s="33">
        <v>2000</v>
      </c>
      <c r="M10" s="34">
        <f>I10-L10</f>
        <v>21597</v>
      </c>
    </row>
    <row r="11" spans="1:13" s="38" customFormat="1" ht="18.75" thickBot="1" x14ac:dyDescent="0.3">
      <c r="A11" s="197" t="s">
        <v>2</v>
      </c>
      <c r="B11" s="198"/>
      <c r="C11" s="198"/>
      <c r="D11" s="198"/>
      <c r="E11" s="198"/>
      <c r="F11" s="35">
        <f>SUM(F6:F10)</f>
        <v>141697</v>
      </c>
      <c r="G11" s="35">
        <f>SUM(G6:G10)</f>
        <v>108820</v>
      </c>
      <c r="H11" s="52">
        <f>SUM(H6:H10)</f>
        <v>38782</v>
      </c>
      <c r="I11" s="35">
        <f>SUM(I6:I10)</f>
        <v>32876</v>
      </c>
      <c r="J11" s="36"/>
      <c r="K11" s="35">
        <f>SUM(K6:K10)</f>
        <v>71658</v>
      </c>
      <c r="L11" s="36">
        <f>SUM(L6:L10)</f>
        <v>9339</v>
      </c>
      <c r="M11" s="37">
        <f>SUM(M6:M10)</f>
        <v>23537</v>
      </c>
    </row>
    <row r="12" spans="1:13" ht="15.75" thickBot="1" x14ac:dyDescent="0.25"/>
    <row r="13" spans="1:13" ht="15.75" customHeight="1" x14ac:dyDescent="0.2">
      <c r="A13" s="183" t="s">
        <v>0</v>
      </c>
      <c r="B13" s="185" t="s">
        <v>5</v>
      </c>
      <c r="C13" s="185" t="s">
        <v>6</v>
      </c>
      <c r="D13" s="187" t="s">
        <v>10</v>
      </c>
      <c r="E13" s="187" t="s">
        <v>1</v>
      </c>
      <c r="F13" s="195" t="s">
        <v>4</v>
      </c>
      <c r="G13" s="187" t="s">
        <v>7</v>
      </c>
      <c r="H13" s="191" t="s">
        <v>3</v>
      </c>
      <c r="I13" s="187" t="s">
        <v>9</v>
      </c>
      <c r="J13" s="187" t="s">
        <v>12</v>
      </c>
      <c r="K13" s="187" t="s">
        <v>8</v>
      </c>
      <c r="L13" s="193" t="s">
        <v>13</v>
      </c>
      <c r="M13" s="189" t="s">
        <v>14</v>
      </c>
    </row>
    <row r="14" spans="1:13" ht="39" customHeight="1" thickBot="1" x14ac:dyDescent="0.25">
      <c r="A14" s="184"/>
      <c r="B14" s="186"/>
      <c r="C14" s="186"/>
      <c r="D14" s="188"/>
      <c r="E14" s="188"/>
      <c r="F14" s="196"/>
      <c r="G14" s="188"/>
      <c r="H14" s="192"/>
      <c r="I14" s="188"/>
      <c r="J14" s="188"/>
      <c r="K14" s="188"/>
      <c r="L14" s="194"/>
      <c r="M14" s="190"/>
    </row>
    <row r="15" spans="1:13" ht="30" x14ac:dyDescent="0.2">
      <c r="A15" s="40" t="s">
        <v>20</v>
      </c>
      <c r="B15" s="17">
        <v>50</v>
      </c>
      <c r="C15" s="17">
        <v>2212</v>
      </c>
      <c r="D15" s="17">
        <v>61</v>
      </c>
      <c r="E15" s="41" t="s">
        <v>21</v>
      </c>
      <c r="F15" s="20">
        <v>33567</v>
      </c>
      <c r="G15" s="20">
        <v>31889</v>
      </c>
      <c r="H15" s="21">
        <v>11567</v>
      </c>
      <c r="I15" s="21">
        <v>1678</v>
      </c>
      <c r="J15" s="12">
        <f>(I15/F15)</f>
        <v>4.9989573092620726E-2</v>
      </c>
      <c r="K15" s="22">
        <f>H15+I15</f>
        <v>13245</v>
      </c>
      <c r="L15" s="42">
        <v>0</v>
      </c>
      <c r="M15" s="24">
        <f>I15-L15</f>
        <v>1678</v>
      </c>
    </row>
    <row r="16" spans="1:13" ht="45" x14ac:dyDescent="0.2">
      <c r="A16" s="40" t="s">
        <v>20</v>
      </c>
      <c r="B16" s="17">
        <v>50</v>
      </c>
      <c r="C16" s="17">
        <v>2212</v>
      </c>
      <c r="D16" s="17">
        <v>61</v>
      </c>
      <c r="E16" s="41" t="s">
        <v>22</v>
      </c>
      <c r="F16" s="20">
        <v>60281</v>
      </c>
      <c r="G16" s="20">
        <v>57267</v>
      </c>
      <c r="H16" s="21">
        <v>17281</v>
      </c>
      <c r="I16" s="21">
        <v>3014</v>
      </c>
      <c r="J16" s="12">
        <f>(I16/F16)</f>
        <v>4.9999170551251637E-2</v>
      </c>
      <c r="K16" s="22">
        <f>H16+I16</f>
        <v>20295</v>
      </c>
      <c r="L16" s="23">
        <v>0</v>
      </c>
      <c r="M16" s="24">
        <f>I16-L16</f>
        <v>3014</v>
      </c>
    </row>
    <row r="17" spans="1:13" ht="30" x14ac:dyDescent="0.2">
      <c r="A17" s="40" t="s">
        <v>20</v>
      </c>
      <c r="B17" s="17">
        <v>50</v>
      </c>
      <c r="C17" s="18">
        <v>3122</v>
      </c>
      <c r="D17" s="18">
        <v>61</v>
      </c>
      <c r="E17" s="19" t="s">
        <v>23</v>
      </c>
      <c r="F17" s="20">
        <v>9705</v>
      </c>
      <c r="G17" s="20">
        <v>9220</v>
      </c>
      <c r="H17" s="21">
        <v>2205</v>
      </c>
      <c r="I17" s="21">
        <v>485</v>
      </c>
      <c r="J17" s="12">
        <f>(I17/F17)</f>
        <v>4.9974240082431738E-2</v>
      </c>
      <c r="K17" s="22">
        <f>H17+I17</f>
        <v>2690</v>
      </c>
      <c r="L17" s="23">
        <v>0</v>
      </c>
      <c r="M17" s="24">
        <f>I17-L17</f>
        <v>485</v>
      </c>
    </row>
    <row r="18" spans="1:13" ht="16.5" thickBot="1" x14ac:dyDescent="0.25">
      <c r="A18" s="43" t="s">
        <v>20</v>
      </c>
      <c r="B18" s="44">
        <v>50</v>
      </c>
      <c r="C18" s="45">
        <v>3113</v>
      </c>
      <c r="D18" s="45">
        <v>61</v>
      </c>
      <c r="E18" s="46" t="s">
        <v>24</v>
      </c>
      <c r="F18" s="47">
        <v>21812</v>
      </c>
      <c r="G18" s="47">
        <v>20703</v>
      </c>
      <c r="H18" s="48">
        <v>7562</v>
      </c>
      <c r="I18" s="48">
        <v>1109</v>
      </c>
      <c r="J18" s="31">
        <f>(I18/F18)</f>
        <v>5.0843572345497891E-2</v>
      </c>
      <c r="K18" s="49">
        <f>H18+I18</f>
        <v>8671</v>
      </c>
      <c r="L18" s="33">
        <v>0</v>
      </c>
      <c r="M18" s="34">
        <f>I18-L18</f>
        <v>1109</v>
      </c>
    </row>
    <row r="19" spans="1:13" ht="18.75" thickBot="1" x14ac:dyDescent="0.25">
      <c r="A19" s="197" t="s">
        <v>26</v>
      </c>
      <c r="B19" s="198"/>
      <c r="C19" s="198"/>
      <c r="D19" s="198"/>
      <c r="E19" s="198"/>
      <c r="F19" s="36">
        <f>SUM(F15:F18)</f>
        <v>125365</v>
      </c>
      <c r="G19" s="36">
        <f t="shared" ref="G19:I19" si="0">SUM(G15:G18)</f>
        <v>119079</v>
      </c>
      <c r="H19" s="53">
        <f>SUM(H15:H18)</f>
        <v>38615</v>
      </c>
      <c r="I19" s="36">
        <f t="shared" si="0"/>
        <v>6286</v>
      </c>
      <c r="J19" s="36"/>
      <c r="K19" s="36">
        <f t="shared" ref="K19:M19" si="1">SUM(K15:K18)</f>
        <v>44901</v>
      </c>
      <c r="L19" s="36">
        <f t="shared" si="1"/>
        <v>0</v>
      </c>
      <c r="M19" s="37">
        <f t="shared" si="1"/>
        <v>6286</v>
      </c>
    </row>
    <row r="20" spans="1:13" ht="15.75" thickBot="1" x14ac:dyDescent="0.25"/>
    <row r="21" spans="1:13" ht="18.75" thickBot="1" x14ac:dyDescent="0.25">
      <c r="A21" s="197" t="s">
        <v>2</v>
      </c>
      <c r="B21" s="198"/>
      <c r="C21" s="198"/>
      <c r="D21" s="198"/>
      <c r="E21" s="198"/>
      <c r="F21" s="36">
        <f>F11+F19</f>
        <v>267062</v>
      </c>
      <c r="G21" s="36">
        <f t="shared" ref="G21:M21" si="2">G11+G19</f>
        <v>227899</v>
      </c>
      <c r="H21" s="53">
        <f t="shared" si="2"/>
        <v>77397</v>
      </c>
      <c r="I21" s="36">
        <f t="shared" si="2"/>
        <v>39162</v>
      </c>
      <c r="J21" s="36"/>
      <c r="K21" s="36">
        <f t="shared" si="2"/>
        <v>116559</v>
      </c>
      <c r="L21" s="36">
        <f t="shared" si="2"/>
        <v>9339</v>
      </c>
      <c r="M21" s="37">
        <f t="shared" si="2"/>
        <v>29823</v>
      </c>
    </row>
    <row r="22" spans="1:13" ht="18" x14ac:dyDescent="0.25">
      <c r="K22" s="199"/>
      <c r="L22" s="199"/>
      <c r="M22" s="50"/>
    </row>
    <row r="25" spans="1:13" ht="15.75" x14ac:dyDescent="0.25">
      <c r="G25" s="51"/>
    </row>
    <row r="27" spans="1:13" ht="15.75" x14ac:dyDescent="0.25">
      <c r="G27" s="51"/>
    </row>
  </sheetData>
  <mergeCells count="31">
    <mergeCell ref="A19:E19"/>
    <mergeCell ref="A21:E21"/>
    <mergeCell ref="K22:L22"/>
    <mergeCell ref="A1:G1"/>
    <mergeCell ref="H13:H14"/>
    <mergeCell ref="I13:I14"/>
    <mergeCell ref="J13:J14"/>
    <mergeCell ref="K13:K14"/>
    <mergeCell ref="L13:L14"/>
    <mergeCell ref="F13:F14"/>
    <mergeCell ref="G13:G14"/>
    <mergeCell ref="A11:E11"/>
    <mergeCell ref="A13:A14"/>
    <mergeCell ref="B13:B14"/>
    <mergeCell ref="C13:C14"/>
    <mergeCell ref="D13:D14"/>
    <mergeCell ref="E13:E14"/>
    <mergeCell ref="M4:M5"/>
    <mergeCell ref="G4:G5"/>
    <mergeCell ref="H4:H5"/>
    <mergeCell ref="I4:I5"/>
    <mergeCell ref="J4:J5"/>
    <mergeCell ref="K4:K5"/>
    <mergeCell ref="L4:L5"/>
    <mergeCell ref="F4:F5"/>
    <mergeCell ref="M13:M14"/>
    <mergeCell ref="A4:A5"/>
    <mergeCell ref="B4:B5"/>
    <mergeCell ref="C4:C5"/>
    <mergeCell ref="D4:D5"/>
    <mergeCell ref="E4:E5"/>
  </mergeCells>
  <pageMargins left="0.70866141732283472" right="0.70866141732283472" top="0.78740157480314965" bottom="0.78740157480314965" header="0.31496062992125984" footer="0.31496062992125984"/>
  <pageSetup paperSize="9" scale="55" orientation="landscape" r:id="rId1"/>
  <headerFooter>
    <oddFooter>&amp;L&amp;"Arial,Kurzíva"Zastupitelstvo Olomouckého kraje 20-02-2015
6.1. Rozpočet Olomouckého kraje 2015 - investice
Příloha č. 1: Návrh nových investičních akcí 2015&amp;RStrana &amp;P (celkem 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Přehled úvěru</vt:lpstr>
      <vt:lpstr>Dotace - aktualizace</vt:lpstr>
      <vt:lpstr>'Přehled úvěru'!Názvy_tisku</vt:lpstr>
      <vt:lpstr>'Přehled úvěru'!Oblast_tisku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Foret Oldřich</dc:creator>
  <cp:lastModifiedBy>Foret Oldřich</cp:lastModifiedBy>
  <cp:lastPrinted>2019-04-15T12:07:32Z</cp:lastPrinted>
  <dcterms:created xsi:type="dcterms:W3CDTF">2013-11-04T07:24:03Z</dcterms:created>
  <dcterms:modified xsi:type="dcterms:W3CDTF">2019-04-15T12:07:57Z</dcterms:modified>
</cp:coreProperties>
</file>