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J:\OdRF\Úvěrový rámec\KB\REVOLVINGOVÝ ÚVĚR 600 mil. Kč\14. čerpání\ZOK\"/>
    </mc:Choice>
  </mc:AlternateContent>
  <bookViews>
    <workbookView xWindow="-1005" yWindow="1815" windowWidth="15570" windowHeight="9975"/>
  </bookViews>
  <sheets>
    <sheet name="Přehled úvěru" sheetId="6" r:id="rId1"/>
    <sheet name="Dotace - aktualizace" sheetId="9" state="hidden" r:id="rId2"/>
  </sheets>
  <definedNames>
    <definedName name="_xlnm.Print_Titles" localSheetId="0">'Přehled úvěru'!$2:$3</definedName>
    <definedName name="_xlnm.Print_Area" localSheetId="0">'Přehled úvěru'!$B$1:$V$39</definedName>
  </definedNames>
  <calcPr calcId="162913"/>
</workbook>
</file>

<file path=xl/calcChain.xml><?xml version="1.0" encoding="utf-8"?>
<calcChain xmlns="http://schemas.openxmlformats.org/spreadsheetml/2006/main">
  <c r="V38" i="6" l="1"/>
  <c r="U38" i="6"/>
  <c r="F38" i="6"/>
  <c r="E38" i="6"/>
  <c r="G30" i="6" l="1"/>
  <c r="V36" i="6" l="1"/>
  <c r="V37" i="6"/>
  <c r="G38" i="6"/>
  <c r="H38" i="6"/>
  <c r="I38" i="6"/>
  <c r="J38" i="6"/>
  <c r="F36" i="6"/>
  <c r="F37" i="6"/>
  <c r="G11" i="6" l="1"/>
  <c r="G10" i="6"/>
  <c r="G5" i="6"/>
  <c r="V35" i="6"/>
  <c r="K38" i="6"/>
  <c r="L38" i="6"/>
  <c r="M38" i="6"/>
  <c r="N38" i="6"/>
  <c r="O38" i="6"/>
  <c r="P38" i="6"/>
  <c r="Q38" i="6"/>
  <c r="R38" i="6"/>
  <c r="S38" i="6"/>
  <c r="T38" i="6"/>
  <c r="F35" i="6"/>
  <c r="F30" i="6"/>
  <c r="F4" i="6"/>
  <c r="V34" i="6" l="1"/>
  <c r="F5" i="6"/>
  <c r="F6" i="6"/>
  <c r="F7" i="6"/>
  <c r="F8" i="6"/>
  <c r="F9" i="6"/>
  <c r="F10" i="6"/>
  <c r="F11" i="6"/>
  <c r="F12" i="6"/>
  <c r="F13" i="6"/>
  <c r="F14" i="6"/>
  <c r="F15" i="6"/>
  <c r="F16" i="6"/>
  <c r="F17" i="6"/>
  <c r="F18" i="6"/>
  <c r="F19" i="6"/>
  <c r="F20" i="6"/>
  <c r="F21" i="6"/>
  <c r="F22" i="6"/>
  <c r="F23" i="6"/>
  <c r="F24" i="6"/>
  <c r="F25" i="6"/>
  <c r="F26" i="6"/>
  <c r="F27" i="6"/>
  <c r="F28" i="6"/>
  <c r="F29" i="6"/>
  <c r="F31" i="6"/>
  <c r="F32" i="6"/>
  <c r="F33" i="6"/>
  <c r="F34" i="6"/>
  <c r="H31" i="6" l="1"/>
  <c r="H33" i="6"/>
  <c r="V33" i="6"/>
  <c r="H5" i="6"/>
  <c r="H25" i="6"/>
  <c r="H9" i="6"/>
  <c r="H10" i="6"/>
  <c r="V26" i="6" l="1"/>
  <c r="V27" i="6"/>
  <c r="V28" i="6"/>
  <c r="V29" i="6"/>
  <c r="V30" i="6"/>
  <c r="V31" i="6"/>
  <c r="V32" i="6"/>
  <c r="I10" i="6" l="1"/>
  <c r="I9" i="6" l="1"/>
  <c r="I5" i="6"/>
  <c r="I24" i="6"/>
  <c r="V24" i="6" s="1"/>
  <c r="V25" i="6"/>
  <c r="I23" i="6"/>
  <c r="I8" i="6"/>
  <c r="V20" i="6"/>
  <c r="V21" i="6"/>
  <c r="V22" i="6"/>
  <c r="V23" i="6"/>
  <c r="V19" i="6" l="1"/>
  <c r="U4" i="6" l="1"/>
  <c r="K11" i="6" l="1"/>
  <c r="V15" i="6"/>
  <c r="V16" i="6"/>
  <c r="V18" i="6"/>
  <c r="V17" i="6"/>
  <c r="V4" i="6" l="1"/>
  <c r="V13" i="6" l="1"/>
  <c r="V14" i="6"/>
  <c r="V12" i="6" l="1"/>
  <c r="V9" i="6"/>
  <c r="V7" i="6"/>
  <c r="M11" i="6"/>
  <c r="V11" i="6" l="1"/>
  <c r="P6" i="6"/>
  <c r="S6" i="6"/>
  <c r="S8" i="6"/>
  <c r="T6" i="6"/>
  <c r="T5" i="6"/>
  <c r="V6" i="6" l="1"/>
  <c r="V8" i="6"/>
  <c r="T10" i="6"/>
  <c r="V10" i="6" l="1"/>
  <c r="V5" i="6"/>
  <c r="L19" i="9"/>
  <c r="I19" i="9"/>
  <c r="H19" i="9"/>
  <c r="G19" i="9"/>
  <c r="F19" i="9"/>
  <c r="M18" i="9"/>
  <c r="K18" i="9"/>
  <c r="J18" i="9"/>
  <c r="M17" i="9"/>
  <c r="K17" i="9"/>
  <c r="J17" i="9"/>
  <c r="M16" i="9"/>
  <c r="K16" i="9"/>
  <c r="J16" i="9"/>
  <c r="M15" i="9"/>
  <c r="K15" i="9"/>
  <c r="J15" i="9"/>
  <c r="H11" i="9"/>
  <c r="G11" i="9"/>
  <c r="F11" i="9"/>
  <c r="M10" i="9"/>
  <c r="K10" i="9"/>
  <c r="J10" i="9"/>
  <c r="L9" i="9"/>
  <c r="I9" i="9"/>
  <c r="K9" i="9" s="1"/>
  <c r="L8" i="9"/>
  <c r="M8" i="9" s="1"/>
  <c r="I8" i="9"/>
  <c r="J8" i="9" s="1"/>
  <c r="L7" i="9"/>
  <c r="I7" i="9"/>
  <c r="M7" i="9" s="1"/>
  <c r="M6" i="9"/>
  <c r="K6" i="9"/>
  <c r="J6" i="9"/>
  <c r="V39" i="6" l="1"/>
  <c r="H21" i="9"/>
  <c r="L11" i="9"/>
  <c r="L21" i="9" s="1"/>
  <c r="F21" i="9"/>
  <c r="K19" i="9"/>
  <c r="G21" i="9"/>
  <c r="M19" i="9"/>
  <c r="J7" i="9"/>
  <c r="J9" i="9"/>
  <c r="K7" i="9"/>
  <c r="M9" i="9"/>
  <c r="M11" i="9" s="1"/>
  <c r="M21" i="9" s="1"/>
  <c r="I11" i="9"/>
  <c r="I21" i="9" s="1"/>
  <c r="K8" i="9"/>
  <c r="K11" i="9" l="1"/>
  <c r="K21" i="9" s="1"/>
</calcChain>
</file>

<file path=xl/comments1.xml><?xml version="1.0" encoding="utf-8"?>
<comments xmlns="http://schemas.openxmlformats.org/spreadsheetml/2006/main">
  <authors>
    <author>Foret Oldřich</author>
  </authors>
  <commentList>
    <comment ref="T5" authorId="0" shapeId="0">
      <text>
        <r>
          <rPr>
            <b/>
            <sz val="9"/>
            <color indexed="81"/>
            <rFont val="Tahoma"/>
            <family val="2"/>
            <charset val="238"/>
          </rPr>
          <t xml:space="preserve">Přesun finančních prostředků rev. úvěru na projekt: 
II/433 Prostějov - Mořice ve výši: 7 315 000 a 431 000 Kč.
II/449 křiž. II/366 - MÚK Unčovice ve výši: 3 100 000 Kč
</t>
        </r>
      </text>
    </comment>
    <comment ref="S6" authorId="0" shapeId="0">
      <text>
        <r>
          <rPr>
            <b/>
            <sz val="9"/>
            <color indexed="81"/>
            <rFont val="Tahoma"/>
            <family val="2"/>
            <charset val="238"/>
          </rPr>
          <t>Přesun fin. prostředků z projektu Muzeum Komenského v Přerově - Záchrana a zpřístupnění paláce na hradě Helfštýn</t>
        </r>
        <r>
          <rPr>
            <sz val="9"/>
            <color indexed="81"/>
            <rFont val="Tahoma"/>
            <family val="2"/>
            <charset val="238"/>
          </rPr>
          <t xml:space="preserve">
</t>
        </r>
      </text>
    </comment>
    <comment ref="T6" authorId="0" shapeId="0">
      <text>
        <r>
          <rPr>
            <b/>
            <sz val="9"/>
            <color indexed="81"/>
            <rFont val="Tahoma"/>
            <family val="2"/>
            <charset val="238"/>
          </rPr>
          <t>Přesun fin. prostředků z projektu Muzeum Komenského v Přerově - rekonstrukce budovy</t>
        </r>
        <r>
          <rPr>
            <sz val="9"/>
            <color indexed="81"/>
            <rFont val="Tahoma"/>
            <family val="2"/>
            <charset val="238"/>
          </rPr>
          <t xml:space="preserve">
</t>
        </r>
      </text>
    </comment>
    <comment ref="D7" authorId="0" shapeId="0">
      <text>
        <r>
          <rPr>
            <b/>
            <sz val="9"/>
            <color indexed="81"/>
            <rFont val="Tahoma"/>
            <charset val="1"/>
          </rPr>
          <t>Není v návrhu rozpočtu na rok 2018</t>
        </r>
        <r>
          <rPr>
            <sz val="9"/>
            <color indexed="81"/>
            <rFont val="Tahoma"/>
            <charset val="1"/>
          </rPr>
          <t xml:space="preserve">
</t>
        </r>
      </text>
    </comment>
    <comment ref="S8" authorId="0" shapeId="0">
      <text>
        <r>
          <rPr>
            <b/>
            <sz val="9"/>
            <color indexed="81"/>
            <rFont val="Tahoma"/>
            <family val="2"/>
            <charset val="238"/>
          </rPr>
          <t>Přesun finančních prostředků rev. úvěru na projekt: 
II/449 křiž. II/366 - MÚK Unčovice ve výši: 6 090 000 Kč.</t>
        </r>
        <r>
          <rPr>
            <sz val="9"/>
            <color indexed="81"/>
            <rFont val="Tahoma"/>
            <family val="2"/>
            <charset val="238"/>
          </rPr>
          <t xml:space="preserve">
</t>
        </r>
      </text>
    </comment>
    <comment ref="T10" authorId="0" shapeId="0">
      <text>
        <r>
          <rPr>
            <b/>
            <sz val="9"/>
            <color indexed="81"/>
            <rFont val="Tahoma"/>
            <family val="2"/>
            <charset val="238"/>
          </rPr>
          <t>Přesun fin. prostředků z projektu Muzeum Komenského v Přerově - rekonstrukce budovy</t>
        </r>
        <r>
          <rPr>
            <sz val="9"/>
            <color indexed="81"/>
            <rFont val="Tahoma"/>
            <family val="2"/>
            <charset val="238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<sst xmlns="http://schemas.openxmlformats.org/spreadsheetml/2006/main" count="102" uniqueCount="82">
  <si>
    <t>ORG</t>
  </si>
  <si>
    <t>Název projektu</t>
  </si>
  <si>
    <t>Celkem</t>
  </si>
  <si>
    <t>Předfinancování 2015</t>
  </si>
  <si>
    <t>Celkové náklady</t>
  </si>
  <si>
    <t>ORJ</t>
  </si>
  <si>
    <t>§</t>
  </si>
  <si>
    <t>Dotace</t>
  </si>
  <si>
    <t>Celkem OK 2015</t>
  </si>
  <si>
    <t>Podíl OK 2015</t>
  </si>
  <si>
    <t>Seskup. Pol.</t>
  </si>
  <si>
    <t>v tis. Kč</t>
  </si>
  <si>
    <t>Podíl OK 2015 v %</t>
  </si>
  <si>
    <t>RU 2015</t>
  </si>
  <si>
    <t>Zůstatek          Podíl OK</t>
  </si>
  <si>
    <t>II/439 Ústí – průtah – hranice okr. Vsetín</t>
  </si>
  <si>
    <t>II/446 Chomoutov - Pňovice, křižovatka silnic II/446 a III/44613</t>
  </si>
  <si>
    <t>III/44317 Velká Bystřice - okružní křižovatka</t>
  </si>
  <si>
    <t>III/36916 Šumperk - okružní křižovatka, ul. Temenická</t>
  </si>
  <si>
    <t>Realizace energeticky úsporných opatření - Domov důchodců Prostějov</t>
  </si>
  <si>
    <t>SSOK</t>
  </si>
  <si>
    <t>Silnice II/373 Chudobín – směr Slavětín</t>
  </si>
  <si>
    <t>Silnice II/644  hr. okresu – Mohelnice, ve staničení 11,034 – 20,396</t>
  </si>
  <si>
    <t>Stavební úpravy silnice II/150 v Dřevohosticích</t>
  </si>
  <si>
    <t>II/150 Rokytnice - Předmostí</t>
  </si>
  <si>
    <t>Projekty spolufinancované z evropských fondů - po aktualizaci</t>
  </si>
  <si>
    <t>Celkem SSOK</t>
  </si>
  <si>
    <t>Zůstatek revolvingu ke splacení</t>
  </si>
  <si>
    <t>Čerpání revolvingu KB</t>
  </si>
  <si>
    <t>Muzeum Komenského v Přerově - rekonstrukce budovy</t>
  </si>
  <si>
    <t>v Kč</t>
  </si>
  <si>
    <t>II/446 Uničov - Strukov</t>
  </si>
  <si>
    <t>II/449 křiž. II/366 – MÚK Unčovice</t>
  </si>
  <si>
    <t>II/448 Drahanovice - Olomouc</t>
  </si>
  <si>
    <t>Muzeum Komenského v Přerově – Záchrana a zpřístupnění paláce na hradě Helfštýn</t>
  </si>
  <si>
    <t>Realizace depozitáře pro Vědeckou knihovnu v Olomouci</t>
  </si>
  <si>
    <t>Celková dotace dle rozhodnutí</t>
  </si>
  <si>
    <t>II/433 Prostějov - Mořice</t>
  </si>
  <si>
    <t>Přehled čerpání a splácení revolvingového uvěru</t>
  </si>
  <si>
    <t>Realizace energeticky úsporných opatření – OU a praktická škola Lipová - lázně</t>
  </si>
  <si>
    <t>Zůstatek revolvingového úvěru KB k čerpání</t>
  </si>
  <si>
    <t>7. dílčí čerpání revolvingu KB (5.2.2018) UR/34/56/2018</t>
  </si>
  <si>
    <t>5. dílčí čerpání revolvingu KB (11.12.2017) UR/30/58/2017</t>
  </si>
  <si>
    <t>4. dílčí čerpání revolvingu KB (13.11.2017) UR/27/46/2017</t>
  </si>
  <si>
    <t>3. dílčí čerpání revolvingu KB (2.10.2017) UR/24/45/2017</t>
  </si>
  <si>
    <t>2. dílčí čerpání revolvingu KB (11.9.2017) UR/22/54/2017</t>
  </si>
  <si>
    <t>1. dílčí čerpání revolvingu KB (12.6.2017) UR/17/47/2017</t>
  </si>
  <si>
    <t>8. dílčí čerpání revolvingu KB (19.2.2018) UR/35/35/2018</t>
  </si>
  <si>
    <t>Realizace energeticky úsporných opatření - SŠ, ZŠ a MŠ Prostějov - budova MŠ, ul. St. Manharda a) zateplení</t>
  </si>
  <si>
    <t>Realizace energeticky úsporných opatření - SŠ, ZŠ a MŠ Prostějov - budova MŠ, ul. St. Manharda b) vzduchotechnika</t>
  </si>
  <si>
    <t>Splátka revolvingu KB</t>
  </si>
  <si>
    <t>Střední škola gastronomie a farmářství Jeseník - Tělocvična</t>
  </si>
  <si>
    <t>Realizace energeticky úsporných opatření - SOŠ lesnická a strojírenská Šternberk - domov mládeže</t>
  </si>
  <si>
    <t>Dětské centrum Ostrůvek - Zateplení budovy a střechy objektu D, Mošnerova 1 a) zateplení</t>
  </si>
  <si>
    <t>Dětské centrum Ostrůvek - Zateplení budovy a střechy objektu D, Mošnerova 1 b) vzduchotechnika</t>
  </si>
  <si>
    <t>9. dílčí čerpání revolvingu KB (12.3.2018) UR/37/35/2018</t>
  </si>
  <si>
    <t>Střední průmyslová škola Hranice - Modernizace vozového parku pro praktické vyučování a odborné praxe</t>
  </si>
  <si>
    <t>10. dílčí čerpání revolvingu KB (26.3.2018) UR/38/73/2018</t>
  </si>
  <si>
    <t>6. dílčí čerpání revolvingu KB (22. 1. 2018) UR/33/48/2018</t>
  </si>
  <si>
    <t>11. dílčí čerpání revolvingu KB (16.4.2018) UR/39/54/2018</t>
  </si>
  <si>
    <t>Střední škola logistiky a chemie, Olomouc, U Hradiska 29 - Zateplení budovy školy a) zateplení</t>
  </si>
  <si>
    <t>Střední škola logistiky a chemie, Olomouc, U Hradiska 29 - Zateplení budovy školy b) vzduchotechnika</t>
  </si>
  <si>
    <t>Nákup vybavení a zařízení pro odbornou výuku včetně potřebného IT</t>
  </si>
  <si>
    <t>Kybernetická bezpečnost Krajského úřadu Olomouckého kraje</t>
  </si>
  <si>
    <t xml:space="preserve">Centrum Dominika Kokory, p. o. – rekonstrukce budovy </t>
  </si>
  <si>
    <t>Centrum polytechnické výchovy (Střední škola polytechnická, Olomouc, Rooseveltova 79)</t>
  </si>
  <si>
    <t>Realizace energeticky úsporných opatření – SŠ technická a zemědělská Mohelnice b) vzduchotechnika</t>
  </si>
  <si>
    <t>Realizace energeticky úsporných opatření – SŠ technická a zemědělská Mohelnice a) zateplení</t>
  </si>
  <si>
    <t>Realizace energeticky úsporných opatření - SPŠ elektrotechnická Mohelnice - škola, dílny b) vzduchotechnika</t>
  </si>
  <si>
    <t>Realizace energeticky úsporných opatření - SPŠ elektrotechnická Mohelnice - škola, dílny a) zateplení</t>
  </si>
  <si>
    <t>Modernizace učeben odborného výcviku včetně SW pro CNC</t>
  </si>
  <si>
    <t>II/441 Křiž. R35 - hr. Kraje Moravskoslezského</t>
  </si>
  <si>
    <t xml:space="preserve">II/444 kř. R35 Mohelnice - Úsov </t>
  </si>
  <si>
    <t>12. dílčí čerpání revolvingu KB (10.5.2018) UR/41/32/2018</t>
  </si>
  <si>
    <t>Pořízení techniky pro odbornou výuku s IT podporou pro SOŠL a S Šternberk</t>
  </si>
  <si>
    <t>Pořízení nových zařízení a vybavení pro odbornou výuku včetně IT podpory</t>
  </si>
  <si>
    <t>Pořízení vybavení pro odborné učebny - modernizace CNC zařízení a 3D zařízení včetně SW, rekonstrukce nové učebny programovatelných automatů, modernizace konektivity školy ve vazbě na odborné předměty</t>
  </si>
  <si>
    <t>14. dílčí čerpání revolvingu KB (4.6.2018)</t>
  </si>
  <si>
    <t>II/444 Medlov - průtah</t>
  </si>
  <si>
    <t>Modernizace infrastruktury Gymnázia Jiřího Wolkera - modernizace učeben ve vazbě na přírodní vědy</t>
  </si>
  <si>
    <t>Vybudování učeben pro výuku oborů Obalová technika, Tiskař na polygrafických strojích a Reprodukční grafik pro média včetně IT podpory</t>
  </si>
  <si>
    <t>13. dílčí čerpání revolvingu KB (21.5.2018) UR/42/42/2018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</si>
</sst>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2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4"/>
      <color theme="1"/>
      <name val="Calibri"/>
      <family val="2"/>
      <charset val="238"/>
      <scheme val="minor"/>
    </font>
    <font>
      <sz val="10"/>
      <name val="Arial"/>
      <family val="2"/>
      <charset val="238"/>
    </font>
    <font>
      <b/>
      <sz val="12"/>
      <color theme="1"/>
      <name val="Calibri"/>
      <family val="2"/>
      <charset val="238"/>
      <scheme val="minor"/>
    </font>
    <font>
      <sz val="12"/>
      <name val="Calibri"/>
      <family val="2"/>
      <charset val="238"/>
      <scheme val="minor"/>
    </font>
    <font>
      <b/>
      <sz val="12"/>
      <color theme="1"/>
      <name val="Arial"/>
      <family val="2"/>
      <charset val="238"/>
    </font>
    <font>
      <sz val="12"/>
      <name val="Arial"/>
      <family val="2"/>
      <charset val="238"/>
    </font>
    <font>
      <b/>
      <sz val="10"/>
      <name val="Arial"/>
      <family val="2"/>
      <charset val="238"/>
    </font>
    <font>
      <b/>
      <sz val="12"/>
      <name val="Arial"/>
      <family val="2"/>
      <charset val="238"/>
    </font>
    <font>
      <sz val="12"/>
      <color theme="1"/>
      <name val="Arial"/>
      <family val="2"/>
      <charset val="238"/>
    </font>
    <font>
      <sz val="12"/>
      <color rgb="FF000000"/>
      <name val="Arial"/>
      <family val="2"/>
      <charset val="238"/>
    </font>
    <font>
      <b/>
      <sz val="14"/>
      <name val="Arial"/>
      <family val="2"/>
      <charset val="238"/>
    </font>
    <font>
      <sz val="14"/>
      <name val="Arial"/>
      <family val="2"/>
      <charset val="238"/>
    </font>
    <font>
      <b/>
      <sz val="13"/>
      <name val="Arial"/>
      <family val="2"/>
      <charset val="238"/>
    </font>
    <font>
      <sz val="11"/>
      <color indexed="8"/>
      <name val="Calibri"/>
      <family val="2"/>
      <charset val="238"/>
    </font>
    <font>
      <b/>
      <sz val="11"/>
      <name val="Calibri"/>
      <family val="2"/>
      <charset val="238"/>
      <scheme val="minor"/>
    </font>
    <font>
      <b/>
      <sz val="9"/>
      <color indexed="81"/>
      <name val="Tahoma"/>
      <family val="2"/>
      <charset val="238"/>
    </font>
    <font>
      <sz val="9"/>
      <color indexed="81"/>
      <name val="Tahoma"/>
      <family val="2"/>
      <charset val="238"/>
    </font>
    <font>
      <b/>
      <sz val="13"/>
      <color theme="1"/>
      <name val="Calibri"/>
      <family val="2"/>
      <charset val="238"/>
      <scheme val="minor"/>
    </font>
    <font>
      <sz val="9"/>
      <color indexed="81"/>
      <name val="Tahoma"/>
      <charset val="1"/>
    </font>
    <font>
      <b/>
      <sz val="9"/>
      <color indexed="81"/>
      <name val="Tahoma"/>
      <charset val="1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FFFF00"/>
        <bgColor indexed="64"/>
      </patternFill>
    </fill>
  </fills>
  <borders count="52">
    <border>
      <left/>
      <right/>
      <top/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hair">
        <color auto="1"/>
      </top>
      <bottom style="hair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 style="medium">
        <color auto="1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auto="1"/>
      </bottom>
      <diagonal/>
    </border>
    <border>
      <left style="thin">
        <color auto="1"/>
      </left>
      <right style="medium">
        <color indexed="64"/>
      </right>
      <top style="medium">
        <color indexed="64"/>
      </top>
      <bottom/>
      <diagonal/>
    </border>
    <border>
      <left style="thin">
        <color auto="1"/>
      </left>
      <right style="thin">
        <color auto="1"/>
      </right>
      <top/>
      <bottom style="hair">
        <color auto="1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medium">
        <color indexed="64"/>
      </right>
      <top style="hair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auto="1"/>
      </left>
      <right style="thin">
        <color auto="1"/>
      </right>
      <top style="hair">
        <color auto="1"/>
      </top>
      <bottom style="double">
        <color auto="1"/>
      </bottom>
      <diagonal/>
    </border>
    <border>
      <left style="thick">
        <color auto="1"/>
      </left>
      <right style="thin">
        <color auto="1"/>
      </right>
      <top style="thick">
        <color auto="1"/>
      </top>
      <bottom style="hair">
        <color auto="1"/>
      </bottom>
      <diagonal/>
    </border>
    <border>
      <left style="thin">
        <color auto="1"/>
      </left>
      <right style="thin">
        <color auto="1"/>
      </right>
      <top style="thick">
        <color auto="1"/>
      </top>
      <bottom style="hair">
        <color auto="1"/>
      </bottom>
      <diagonal/>
    </border>
    <border>
      <left style="thin">
        <color auto="1"/>
      </left>
      <right style="thick">
        <color auto="1"/>
      </right>
      <top style="thick">
        <color auto="1"/>
      </top>
      <bottom style="hair">
        <color auto="1"/>
      </bottom>
      <diagonal/>
    </border>
    <border>
      <left style="thick">
        <color auto="1"/>
      </left>
      <right style="thin">
        <color auto="1"/>
      </right>
      <top style="hair">
        <color auto="1"/>
      </top>
      <bottom style="double">
        <color auto="1"/>
      </bottom>
      <diagonal/>
    </border>
    <border>
      <left style="thin">
        <color auto="1"/>
      </left>
      <right style="thick">
        <color auto="1"/>
      </right>
      <top style="hair">
        <color auto="1"/>
      </top>
      <bottom style="double">
        <color auto="1"/>
      </bottom>
      <diagonal/>
    </border>
    <border>
      <left style="thin">
        <color auto="1"/>
      </left>
      <right style="thick">
        <color auto="1"/>
      </right>
      <top style="double">
        <color auto="1"/>
      </top>
      <bottom style="thick">
        <color auto="1"/>
      </bottom>
      <diagonal/>
    </border>
    <border>
      <left style="thick">
        <color auto="1"/>
      </left>
      <right style="thin">
        <color auto="1"/>
      </right>
      <top style="double">
        <color auto="1"/>
      </top>
      <bottom/>
      <diagonal/>
    </border>
    <border>
      <left style="thin">
        <color auto="1"/>
      </left>
      <right style="thin">
        <color auto="1"/>
      </right>
      <top style="double">
        <color auto="1"/>
      </top>
      <bottom/>
      <diagonal/>
    </border>
    <border>
      <left style="thick">
        <color auto="1"/>
      </left>
      <right style="thin">
        <color auto="1"/>
      </right>
      <top style="thick">
        <color auto="1"/>
      </top>
      <bottom style="thick">
        <color auto="1"/>
      </bottom>
      <diagonal/>
    </border>
    <border>
      <left style="thin">
        <color auto="1"/>
      </left>
      <right style="thin">
        <color auto="1"/>
      </right>
      <top style="thick">
        <color auto="1"/>
      </top>
      <bottom style="thick">
        <color auto="1"/>
      </bottom>
      <diagonal/>
    </border>
    <border>
      <left style="thin">
        <color auto="1"/>
      </left>
      <right style="thick">
        <color auto="1"/>
      </right>
      <top style="thick">
        <color auto="1"/>
      </top>
      <bottom style="thick">
        <color auto="1"/>
      </bottom>
      <diagonal/>
    </border>
    <border>
      <left style="thick">
        <color auto="1"/>
      </left>
      <right style="thin">
        <color auto="1"/>
      </right>
      <top style="double">
        <color auto="1"/>
      </top>
      <bottom style="dashed">
        <color auto="1"/>
      </bottom>
      <diagonal/>
    </border>
    <border>
      <left style="thin">
        <color auto="1"/>
      </left>
      <right style="thin">
        <color auto="1"/>
      </right>
      <top style="double">
        <color auto="1"/>
      </top>
      <bottom style="dashed">
        <color auto="1"/>
      </bottom>
      <diagonal/>
    </border>
    <border>
      <left style="thin">
        <color auto="1"/>
      </left>
      <right style="thick">
        <color auto="1"/>
      </right>
      <top style="double">
        <color auto="1"/>
      </top>
      <bottom style="dashed">
        <color auto="1"/>
      </bottom>
      <diagonal/>
    </border>
    <border>
      <left style="thick">
        <color auto="1"/>
      </left>
      <right style="thin">
        <color auto="1"/>
      </right>
      <top style="dashed">
        <color auto="1"/>
      </top>
      <bottom style="dashed">
        <color auto="1"/>
      </bottom>
      <diagonal/>
    </border>
    <border>
      <left style="thin">
        <color auto="1"/>
      </left>
      <right style="thin">
        <color auto="1"/>
      </right>
      <top style="dashed">
        <color auto="1"/>
      </top>
      <bottom style="dashed">
        <color auto="1"/>
      </bottom>
      <diagonal/>
    </border>
    <border>
      <left style="thin">
        <color auto="1"/>
      </left>
      <right style="thick">
        <color auto="1"/>
      </right>
      <top style="dashed">
        <color auto="1"/>
      </top>
      <bottom style="dashed">
        <color auto="1"/>
      </bottom>
      <diagonal/>
    </border>
    <border>
      <left style="thick">
        <color auto="1"/>
      </left>
      <right style="thin">
        <color auto="1"/>
      </right>
      <top style="dashed">
        <color auto="1"/>
      </top>
      <bottom/>
      <diagonal/>
    </border>
    <border>
      <left style="thin">
        <color auto="1"/>
      </left>
      <right style="thin">
        <color auto="1"/>
      </right>
      <top style="dashed">
        <color auto="1"/>
      </top>
      <bottom/>
      <diagonal/>
    </border>
    <border>
      <left style="thin">
        <color auto="1"/>
      </left>
      <right style="thick">
        <color auto="1"/>
      </right>
      <top style="dashed">
        <color auto="1"/>
      </top>
      <bottom/>
      <diagonal/>
    </border>
    <border>
      <left style="thick">
        <color auto="1"/>
      </left>
      <right style="thin">
        <color auto="1"/>
      </right>
      <top style="dashed">
        <color auto="1"/>
      </top>
      <bottom style="thick">
        <color auto="1"/>
      </bottom>
      <diagonal/>
    </border>
    <border>
      <left style="thin">
        <color auto="1"/>
      </left>
      <right style="thin">
        <color auto="1"/>
      </right>
      <top style="dashed">
        <color auto="1"/>
      </top>
      <bottom style="thick">
        <color auto="1"/>
      </bottom>
      <diagonal/>
    </border>
    <border>
      <left style="thin">
        <color auto="1"/>
      </left>
      <right style="thick">
        <color auto="1"/>
      </right>
      <top style="dashed">
        <color auto="1"/>
      </top>
      <bottom style="thick">
        <color auto="1"/>
      </bottom>
      <diagonal/>
    </border>
    <border>
      <left style="thick">
        <color auto="1"/>
      </left>
      <right style="thin">
        <color auto="1"/>
      </right>
      <top style="dashed">
        <color auto="1"/>
      </top>
      <bottom style="double">
        <color auto="1"/>
      </bottom>
      <diagonal/>
    </border>
    <border>
      <left style="thin">
        <color auto="1"/>
      </left>
      <right style="thin">
        <color auto="1"/>
      </right>
      <top style="dashed">
        <color auto="1"/>
      </top>
      <bottom style="double">
        <color auto="1"/>
      </bottom>
      <diagonal/>
    </border>
    <border>
      <left style="thin">
        <color auto="1"/>
      </left>
      <right style="thin">
        <color auto="1"/>
      </right>
      <top style="thick">
        <color auto="1"/>
      </top>
      <bottom style="dashed">
        <color auto="1"/>
      </bottom>
      <diagonal/>
    </border>
    <border>
      <left style="thick">
        <color auto="1"/>
      </left>
      <right style="thin">
        <color auto="1"/>
      </right>
      <top style="thick">
        <color auto="1"/>
      </top>
      <bottom style="dashed">
        <color auto="1"/>
      </bottom>
      <diagonal/>
    </border>
    <border>
      <left style="thin">
        <color auto="1"/>
      </left>
      <right style="thick">
        <color auto="1"/>
      </right>
      <top style="thick">
        <color auto="1"/>
      </top>
      <bottom style="dashed">
        <color auto="1"/>
      </bottom>
      <diagonal/>
    </border>
  </borders>
  <cellStyleXfs count="13">
    <xf numFmtId="0" fontId="0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5" fillId="0" borderId="0"/>
  </cellStyleXfs>
  <cellXfs count="120">
    <xf numFmtId="0" fontId="0" fillId="0" borderId="0" xfId="0"/>
    <xf numFmtId="0" fontId="1" fillId="0" borderId="0" xfId="0" applyFont="1" applyAlignment="1">
      <alignment horizontal="right"/>
    </xf>
    <xf numFmtId="0" fontId="6" fillId="0" borderId="0" xfId="1" applyFont="1" applyFill="1" applyBorder="1" applyAlignment="1"/>
    <xf numFmtId="0" fontId="6" fillId="0" borderId="0" xfId="1" applyFont="1" applyFill="1" applyBorder="1" applyAlignment="1">
      <alignment horizontal="right"/>
    </xf>
    <xf numFmtId="0" fontId="7" fillId="0" borderId="0" xfId="1" applyFont="1" applyFill="1" applyBorder="1"/>
    <xf numFmtId="0" fontId="6" fillId="0" borderId="0" xfId="1" applyFont="1" applyFill="1" applyAlignment="1">
      <alignment horizontal="right"/>
    </xf>
    <xf numFmtId="0" fontId="7" fillId="0" borderId="0" xfId="1" applyFont="1" applyFill="1"/>
    <xf numFmtId="0" fontId="10" fillId="0" borderId="13" xfId="1" applyFont="1" applyFill="1" applyBorder="1" applyAlignment="1">
      <alignment horizontal="center" vertical="center"/>
    </xf>
    <xf numFmtId="0" fontId="10" fillId="0" borderId="8" xfId="1" applyFont="1" applyFill="1" applyBorder="1" applyAlignment="1">
      <alignment horizontal="center" vertical="center"/>
    </xf>
    <xf numFmtId="0" fontId="10" fillId="2" borderId="8" xfId="1" applyFont="1" applyFill="1" applyBorder="1" applyAlignment="1">
      <alignment horizontal="left" vertical="center" wrapText="1"/>
    </xf>
    <xf numFmtId="3" fontId="11" fillId="0" borderId="8" xfId="1" applyNumberFormat="1" applyFont="1" applyFill="1" applyBorder="1" applyAlignment="1">
      <alignment horizontal="center" vertical="center"/>
    </xf>
    <xf numFmtId="3" fontId="10" fillId="0" borderId="8" xfId="1" applyNumberFormat="1" applyFont="1" applyFill="1" applyBorder="1" applyAlignment="1">
      <alignment horizontal="center" vertical="center" wrapText="1"/>
    </xf>
    <xf numFmtId="9" fontId="10" fillId="0" borderId="8" xfId="1" applyNumberFormat="1" applyFont="1" applyFill="1" applyBorder="1" applyAlignment="1">
      <alignment horizontal="center" vertical="center" wrapText="1"/>
    </xf>
    <xf numFmtId="3" fontId="6" fillId="0" borderId="8" xfId="1" applyNumberFormat="1" applyFont="1" applyFill="1" applyBorder="1" applyAlignment="1">
      <alignment horizontal="center" vertical="center" wrapText="1"/>
    </xf>
    <xf numFmtId="3" fontId="7" fillId="0" borderId="8" xfId="1" applyNumberFormat="1" applyFont="1" applyFill="1" applyBorder="1" applyAlignment="1">
      <alignment horizontal="center" vertical="center" wrapText="1"/>
    </xf>
    <xf numFmtId="3" fontId="7" fillId="0" borderId="14" xfId="1" applyNumberFormat="1" applyFont="1" applyFill="1" applyBorder="1" applyAlignment="1">
      <alignment horizontal="center" vertical="center"/>
    </xf>
    <xf numFmtId="0" fontId="10" fillId="0" borderId="15" xfId="1" applyFont="1" applyFill="1" applyBorder="1" applyAlignment="1">
      <alignment horizontal="center" vertical="center"/>
    </xf>
    <xf numFmtId="0" fontId="7" fillId="0" borderId="3" xfId="1" applyFont="1" applyFill="1" applyBorder="1" applyAlignment="1">
      <alignment horizontal="center" vertical="center"/>
    </xf>
    <xf numFmtId="0" fontId="10" fillId="0" borderId="3" xfId="1" applyFont="1" applyFill="1" applyBorder="1" applyAlignment="1">
      <alignment horizontal="center" vertical="center"/>
    </xf>
    <xf numFmtId="0" fontId="10" fillId="2" borderId="3" xfId="1" applyFont="1" applyFill="1" applyBorder="1" applyAlignment="1">
      <alignment horizontal="left" vertical="center" wrapText="1"/>
    </xf>
    <xf numFmtId="3" fontId="10" fillId="0" borderId="3" xfId="1" applyNumberFormat="1" applyFont="1" applyFill="1" applyBorder="1" applyAlignment="1">
      <alignment horizontal="center" vertical="center"/>
    </xf>
    <xf numFmtId="3" fontId="10" fillId="0" borderId="3" xfId="1" applyNumberFormat="1" applyFont="1" applyFill="1" applyBorder="1" applyAlignment="1">
      <alignment horizontal="center" vertical="center" wrapText="1"/>
    </xf>
    <xf numFmtId="3" fontId="6" fillId="0" borderId="3" xfId="1" applyNumberFormat="1" applyFont="1" applyFill="1" applyBorder="1" applyAlignment="1">
      <alignment horizontal="center" vertical="center" wrapText="1"/>
    </xf>
    <xf numFmtId="3" fontId="7" fillId="0" borderId="3" xfId="1" applyNumberFormat="1" applyFont="1" applyFill="1" applyBorder="1" applyAlignment="1">
      <alignment horizontal="center" vertical="center"/>
    </xf>
    <xf numFmtId="3" fontId="7" fillId="0" borderId="16" xfId="1" applyNumberFormat="1" applyFont="1" applyFill="1" applyBorder="1" applyAlignment="1">
      <alignment horizontal="center" vertical="center"/>
    </xf>
    <xf numFmtId="3" fontId="7" fillId="0" borderId="3" xfId="1" applyNumberFormat="1" applyFont="1" applyFill="1" applyBorder="1" applyAlignment="1">
      <alignment horizontal="center" vertical="center" wrapText="1"/>
    </xf>
    <xf numFmtId="0" fontId="10" fillId="0" borderId="11" xfId="1" applyFont="1" applyFill="1" applyBorder="1" applyAlignment="1">
      <alignment horizontal="center" vertical="center"/>
    </xf>
    <xf numFmtId="0" fontId="10" fillId="0" borderId="12" xfId="1" applyFont="1" applyFill="1" applyBorder="1" applyAlignment="1">
      <alignment horizontal="center" vertical="center"/>
    </xf>
    <xf numFmtId="0" fontId="10" fillId="2" borderId="12" xfId="1" applyFont="1" applyFill="1" applyBorder="1" applyAlignment="1">
      <alignment horizontal="left" vertical="center" wrapText="1"/>
    </xf>
    <xf numFmtId="3" fontId="10" fillId="0" borderId="12" xfId="1" applyNumberFormat="1" applyFont="1" applyFill="1" applyBorder="1" applyAlignment="1">
      <alignment horizontal="center" vertical="center"/>
    </xf>
    <xf numFmtId="3" fontId="10" fillId="0" borderId="12" xfId="1" applyNumberFormat="1" applyFont="1" applyFill="1" applyBorder="1" applyAlignment="1">
      <alignment horizontal="center" vertical="center" wrapText="1"/>
    </xf>
    <xf numFmtId="9" fontId="10" fillId="0" borderId="4" xfId="1" applyNumberFormat="1" applyFont="1" applyFill="1" applyBorder="1" applyAlignment="1">
      <alignment horizontal="center" vertical="center" wrapText="1"/>
    </xf>
    <xf numFmtId="3" fontId="6" fillId="0" borderId="12" xfId="1" applyNumberFormat="1" applyFont="1" applyFill="1" applyBorder="1" applyAlignment="1">
      <alignment horizontal="center" vertical="center" wrapText="1"/>
    </xf>
    <xf numFmtId="3" fontId="7" fillId="0" borderId="17" xfId="1" applyNumberFormat="1" applyFont="1" applyFill="1" applyBorder="1" applyAlignment="1">
      <alignment horizontal="center" vertical="center"/>
    </xf>
    <xf numFmtId="3" fontId="7" fillId="0" borderId="18" xfId="1" applyNumberFormat="1" applyFont="1" applyFill="1" applyBorder="1" applyAlignment="1">
      <alignment horizontal="center" vertical="center"/>
    </xf>
    <xf numFmtId="3" fontId="12" fillId="0" borderId="2" xfId="1" applyNumberFormat="1" applyFont="1" applyFill="1" applyBorder="1" applyAlignment="1">
      <alignment horizontal="center" vertical="center"/>
    </xf>
    <xf numFmtId="3" fontId="12" fillId="0" borderId="20" xfId="1" applyNumberFormat="1" applyFont="1" applyFill="1" applyBorder="1" applyAlignment="1">
      <alignment horizontal="center" vertical="center"/>
    </xf>
    <xf numFmtId="3" fontId="12" fillId="0" borderId="21" xfId="1" applyNumberFormat="1" applyFont="1" applyFill="1" applyBorder="1" applyAlignment="1">
      <alignment horizontal="center" vertical="center"/>
    </xf>
    <xf numFmtId="0" fontId="13" fillId="0" borderId="0" xfId="1" applyFont="1" applyFill="1"/>
    <xf numFmtId="0" fontId="7" fillId="0" borderId="0" xfId="1" applyFont="1" applyFill="1" applyAlignment="1">
      <alignment wrapText="1"/>
    </xf>
    <xf numFmtId="0" fontId="7" fillId="4" borderId="15" xfId="1" applyFont="1" applyFill="1" applyBorder="1" applyAlignment="1">
      <alignment horizontal="center" vertical="center"/>
    </xf>
    <xf numFmtId="0" fontId="7" fillId="2" borderId="3" xfId="1" applyFont="1" applyFill="1" applyBorder="1" applyAlignment="1">
      <alignment horizontal="left" vertical="center" wrapText="1"/>
    </xf>
    <xf numFmtId="3" fontId="7" fillId="0" borderId="3" xfId="1" applyNumberFormat="1" applyFont="1" applyFill="1" applyBorder="1" applyAlignment="1">
      <alignment horizontal="center"/>
    </xf>
    <xf numFmtId="0" fontId="7" fillId="4" borderId="22" xfId="1" applyFont="1" applyFill="1" applyBorder="1" applyAlignment="1">
      <alignment horizontal="center" vertical="center"/>
    </xf>
    <xf numFmtId="0" fontId="7" fillId="0" borderId="17" xfId="1" applyFont="1" applyFill="1" applyBorder="1" applyAlignment="1">
      <alignment horizontal="center" vertical="center"/>
    </xf>
    <xf numFmtId="0" fontId="10" fillId="0" borderId="17" xfId="1" applyFont="1" applyFill="1" applyBorder="1" applyAlignment="1">
      <alignment horizontal="center" vertical="center"/>
    </xf>
    <xf numFmtId="0" fontId="10" fillId="2" borderId="17" xfId="1" applyFont="1" applyFill="1" applyBorder="1" applyAlignment="1">
      <alignment horizontal="left" vertical="center" wrapText="1"/>
    </xf>
    <xf numFmtId="3" fontId="10" fillId="0" borderId="17" xfId="1" applyNumberFormat="1" applyFont="1" applyFill="1" applyBorder="1" applyAlignment="1">
      <alignment horizontal="center" vertical="center"/>
    </xf>
    <xf numFmtId="3" fontId="10" fillId="0" borderId="17" xfId="1" applyNumberFormat="1" applyFont="1" applyFill="1" applyBorder="1" applyAlignment="1">
      <alignment horizontal="center" vertical="center" wrapText="1"/>
    </xf>
    <xf numFmtId="3" fontId="6" fillId="0" borderId="17" xfId="1" applyNumberFormat="1" applyFont="1" applyFill="1" applyBorder="1" applyAlignment="1">
      <alignment horizontal="center" vertical="center" wrapText="1"/>
    </xf>
    <xf numFmtId="3" fontId="14" fillId="0" borderId="0" xfId="11" applyNumberFormat="1" applyFont="1" applyFill="1"/>
    <xf numFmtId="0" fontId="6" fillId="0" borderId="0" xfId="1" applyFont="1" applyFill="1" applyBorder="1"/>
    <xf numFmtId="3" fontId="12" fillId="5" borderId="2" xfId="1" applyNumberFormat="1" applyFont="1" applyFill="1" applyBorder="1" applyAlignment="1">
      <alignment horizontal="center" vertical="center"/>
    </xf>
    <xf numFmtId="3" fontId="12" fillId="5" borderId="20" xfId="1" applyNumberFormat="1" applyFont="1" applyFill="1" applyBorder="1" applyAlignment="1">
      <alignment horizontal="center" vertical="center"/>
    </xf>
    <xf numFmtId="0" fontId="2" fillId="0" borderId="0" xfId="0" applyFont="1" applyBorder="1" applyAlignment="1"/>
    <xf numFmtId="0" fontId="4" fillId="0" borderId="30" xfId="0" applyFont="1" applyFill="1" applyBorder="1" applyAlignment="1">
      <alignment vertical="center" wrapText="1"/>
    </xf>
    <xf numFmtId="0" fontId="4" fillId="0" borderId="31" xfId="0" applyFont="1" applyFill="1" applyBorder="1" applyAlignment="1">
      <alignment vertical="center" wrapText="1"/>
    </xf>
    <xf numFmtId="4" fontId="4" fillId="0" borderId="31" xfId="0" applyNumberFormat="1" applyFont="1" applyFill="1" applyBorder="1" applyAlignment="1">
      <alignment horizontal="right" vertical="center"/>
    </xf>
    <xf numFmtId="4" fontId="19" fillId="0" borderId="29" xfId="0" applyNumberFormat="1" applyFont="1" applyFill="1" applyBorder="1" applyAlignment="1">
      <alignment horizontal="right" vertical="center"/>
    </xf>
    <xf numFmtId="4" fontId="19" fillId="0" borderId="34" xfId="0" applyNumberFormat="1" applyFont="1" applyFill="1" applyBorder="1" applyAlignment="1">
      <alignment horizontal="right" vertical="center"/>
    </xf>
    <xf numFmtId="0" fontId="5" fillId="0" borderId="35" xfId="0" applyFont="1" applyFill="1" applyBorder="1" applyAlignment="1">
      <alignment horizontal="center" vertical="center"/>
    </xf>
    <xf numFmtId="0" fontId="5" fillId="0" borderId="36" xfId="0" applyFont="1" applyFill="1" applyBorder="1" applyAlignment="1">
      <alignment horizontal="center" vertical="center"/>
    </xf>
    <xf numFmtId="0" fontId="5" fillId="0" borderId="36" xfId="0" applyFont="1" applyFill="1" applyBorder="1" applyAlignment="1">
      <alignment vertical="center" wrapText="1"/>
    </xf>
    <xf numFmtId="4" fontId="5" fillId="0" borderId="36" xfId="0" applyNumberFormat="1" applyFont="1" applyFill="1" applyBorder="1" applyAlignment="1">
      <alignment horizontal="right" vertical="center"/>
    </xf>
    <xf numFmtId="4" fontId="5" fillId="0" borderId="37" xfId="0" applyNumberFormat="1" applyFont="1" applyFill="1" applyBorder="1" applyAlignment="1">
      <alignment horizontal="right" vertical="center"/>
    </xf>
    <xf numFmtId="0" fontId="5" fillId="0" borderId="38" xfId="0" applyFont="1" applyFill="1" applyBorder="1" applyAlignment="1">
      <alignment horizontal="center" vertical="center"/>
    </xf>
    <xf numFmtId="0" fontId="5" fillId="0" borderId="39" xfId="0" applyFont="1" applyFill="1" applyBorder="1" applyAlignment="1">
      <alignment horizontal="center" vertical="center"/>
    </xf>
    <xf numFmtId="0" fontId="5" fillId="0" borderId="39" xfId="0" applyFont="1" applyFill="1" applyBorder="1" applyAlignment="1">
      <alignment vertical="center" wrapText="1"/>
    </xf>
    <xf numFmtId="4" fontId="5" fillId="0" borderId="39" xfId="0" applyNumberFormat="1" applyFont="1" applyFill="1" applyBorder="1" applyAlignment="1">
      <alignment horizontal="right" vertical="center"/>
    </xf>
    <xf numFmtId="4" fontId="5" fillId="0" borderId="40" xfId="0" applyNumberFormat="1" applyFont="1" applyFill="1" applyBorder="1" applyAlignment="1">
      <alignment horizontal="right" vertical="center"/>
    </xf>
    <xf numFmtId="0" fontId="5" fillId="0" borderId="41" xfId="0" applyFont="1" applyFill="1" applyBorder="1" applyAlignment="1">
      <alignment horizontal="center" vertical="center"/>
    </xf>
    <xf numFmtId="0" fontId="5" fillId="0" borderId="42" xfId="0" applyFont="1" applyFill="1" applyBorder="1" applyAlignment="1">
      <alignment horizontal="center" vertical="center"/>
    </xf>
    <xf numFmtId="0" fontId="5" fillId="0" borderId="42" xfId="0" applyFont="1" applyFill="1" applyBorder="1" applyAlignment="1">
      <alignment vertical="center" wrapText="1"/>
    </xf>
    <xf numFmtId="4" fontId="5" fillId="0" borderId="42" xfId="0" applyNumberFormat="1" applyFont="1" applyFill="1" applyBorder="1" applyAlignment="1">
      <alignment horizontal="right" vertical="center"/>
    </xf>
    <xf numFmtId="4" fontId="5" fillId="0" borderId="43" xfId="0" applyNumberFormat="1" applyFont="1" applyFill="1" applyBorder="1" applyAlignment="1">
      <alignment horizontal="right" vertical="center"/>
    </xf>
    <xf numFmtId="0" fontId="5" fillId="0" borderId="44" xfId="0" applyFont="1" applyFill="1" applyBorder="1" applyAlignment="1">
      <alignment horizontal="center" vertical="center"/>
    </xf>
    <xf numFmtId="0" fontId="5" fillId="0" borderId="45" xfId="0" applyFont="1" applyFill="1" applyBorder="1" applyAlignment="1">
      <alignment horizontal="center" vertical="center"/>
    </xf>
    <xf numFmtId="0" fontId="5" fillId="0" borderId="45" xfId="0" applyFont="1" applyFill="1" applyBorder="1" applyAlignment="1">
      <alignment vertical="center" wrapText="1"/>
    </xf>
    <xf numFmtId="4" fontId="5" fillId="0" borderId="45" xfId="0" applyNumberFormat="1" applyFont="1" applyFill="1" applyBorder="1" applyAlignment="1">
      <alignment horizontal="right" vertical="center"/>
    </xf>
    <xf numFmtId="4" fontId="5" fillId="0" borderId="46" xfId="0" applyNumberFormat="1" applyFont="1" applyFill="1" applyBorder="1" applyAlignment="1">
      <alignment horizontal="right" vertical="center"/>
    </xf>
    <xf numFmtId="0" fontId="5" fillId="0" borderId="47" xfId="0" applyFont="1" applyFill="1" applyBorder="1" applyAlignment="1">
      <alignment horizontal="center" vertical="center"/>
    </xf>
    <xf numFmtId="0" fontId="5" fillId="0" borderId="48" xfId="0" applyFont="1" applyFill="1" applyBorder="1" applyAlignment="1">
      <alignment horizontal="center" vertical="center"/>
    </xf>
    <xf numFmtId="0" fontId="5" fillId="0" borderId="48" xfId="0" applyFont="1" applyFill="1" applyBorder="1" applyAlignment="1">
      <alignment vertical="center" wrapText="1"/>
    </xf>
    <xf numFmtId="4" fontId="5" fillId="0" borderId="48" xfId="0" applyNumberFormat="1" applyFont="1" applyFill="1" applyBorder="1" applyAlignment="1">
      <alignment horizontal="right" vertical="center"/>
    </xf>
    <xf numFmtId="4" fontId="5" fillId="0" borderId="49" xfId="0" applyNumberFormat="1" applyFont="1" applyFill="1" applyBorder="1" applyAlignment="1">
      <alignment horizontal="right" vertical="center"/>
    </xf>
    <xf numFmtId="0" fontId="5" fillId="0" borderId="50" xfId="0" applyFont="1" applyFill="1" applyBorder="1" applyAlignment="1">
      <alignment horizontal="center" vertical="center"/>
    </xf>
    <xf numFmtId="0" fontId="5" fillId="0" borderId="49" xfId="0" applyFont="1" applyFill="1" applyBorder="1" applyAlignment="1">
      <alignment horizontal="center" vertical="center"/>
    </xf>
    <xf numFmtId="0" fontId="5" fillId="0" borderId="49" xfId="0" applyFont="1" applyFill="1" applyBorder="1" applyAlignment="1">
      <alignment vertical="center" wrapText="1"/>
    </xf>
    <xf numFmtId="4" fontId="5" fillId="0" borderId="51" xfId="0" applyNumberFormat="1" applyFont="1" applyFill="1" applyBorder="1" applyAlignment="1">
      <alignment horizontal="right" vertical="center"/>
    </xf>
    <xf numFmtId="0" fontId="1" fillId="3" borderId="25" xfId="0" applyFont="1" applyFill="1" applyBorder="1" applyAlignment="1">
      <alignment horizontal="center" vertical="center" wrapText="1"/>
    </xf>
    <xf numFmtId="0" fontId="1" fillId="3" borderId="23" xfId="0" applyFont="1" applyFill="1" applyBorder="1" applyAlignment="1">
      <alignment horizontal="center" vertical="center" wrapText="1"/>
    </xf>
    <xf numFmtId="0" fontId="19" fillId="0" borderId="32" xfId="0" applyFont="1" applyBorder="1" applyAlignment="1">
      <alignment horizontal="right" vertical="center"/>
    </xf>
    <xf numFmtId="0" fontId="19" fillId="0" borderId="33" xfId="0" applyFont="1" applyBorder="1" applyAlignment="1">
      <alignment horizontal="right" vertical="center"/>
    </xf>
    <xf numFmtId="0" fontId="2" fillId="0" borderId="0" xfId="0" applyFont="1" applyBorder="1" applyAlignment="1">
      <alignment horizontal="left"/>
    </xf>
    <xf numFmtId="0" fontId="1" fillId="3" borderId="26" xfId="0" applyFont="1" applyFill="1" applyBorder="1" applyAlignment="1">
      <alignment horizontal="center" vertical="center" wrapText="1"/>
    </xf>
    <xf numFmtId="0" fontId="1" fillId="3" borderId="28" xfId="0" applyFont="1" applyFill="1" applyBorder="1" applyAlignment="1">
      <alignment horizontal="center" vertical="center" wrapText="1"/>
    </xf>
    <xf numFmtId="0" fontId="1" fillId="3" borderId="25" xfId="0" applyFont="1" applyFill="1" applyBorder="1" applyAlignment="1">
      <alignment horizontal="center" vertical="center"/>
    </xf>
    <xf numFmtId="0" fontId="1" fillId="3" borderId="23" xfId="0" applyFont="1" applyFill="1" applyBorder="1" applyAlignment="1">
      <alignment horizontal="center" vertical="center"/>
    </xf>
    <xf numFmtId="0" fontId="1" fillId="3" borderId="24" xfId="0" applyFont="1" applyFill="1" applyBorder="1" applyAlignment="1">
      <alignment horizontal="center" vertical="center"/>
    </xf>
    <xf numFmtId="0" fontId="1" fillId="3" borderId="27" xfId="0" applyFont="1" applyFill="1" applyBorder="1" applyAlignment="1">
      <alignment horizontal="center" vertical="center"/>
    </xf>
    <xf numFmtId="0" fontId="16" fillId="3" borderId="25" xfId="0" applyFont="1" applyFill="1" applyBorder="1" applyAlignment="1">
      <alignment horizontal="center" vertical="center" wrapText="1"/>
    </xf>
    <xf numFmtId="0" fontId="16" fillId="3" borderId="23" xfId="0" applyFont="1" applyFill="1" applyBorder="1" applyAlignment="1">
      <alignment horizontal="center" vertical="center" wrapText="1"/>
    </xf>
    <xf numFmtId="0" fontId="6" fillId="0" borderId="9" xfId="1" applyFont="1" applyFill="1" applyBorder="1" applyAlignment="1">
      <alignment horizontal="center" vertical="center"/>
    </xf>
    <xf numFmtId="0" fontId="6" fillId="0" borderId="11" xfId="1" applyFont="1" applyFill="1" applyBorder="1" applyAlignment="1">
      <alignment horizontal="center" vertical="center"/>
    </xf>
    <xf numFmtId="0" fontId="6" fillId="0" borderId="1" xfId="1" applyFont="1" applyFill="1" applyBorder="1" applyAlignment="1">
      <alignment horizontal="center" vertical="center"/>
    </xf>
    <xf numFmtId="0" fontId="6" fillId="0" borderId="2" xfId="1" applyFont="1" applyFill="1" applyBorder="1" applyAlignment="1">
      <alignment horizontal="center" vertical="center"/>
    </xf>
    <xf numFmtId="0" fontId="6" fillId="0" borderId="1" xfId="1" applyFont="1" applyFill="1" applyBorder="1" applyAlignment="1">
      <alignment horizontal="center" vertical="center" wrapText="1"/>
    </xf>
    <xf numFmtId="0" fontId="6" fillId="0" borderId="2" xfId="1" applyFont="1" applyFill="1" applyBorder="1" applyAlignment="1">
      <alignment horizontal="center" vertical="center" wrapText="1"/>
    </xf>
    <xf numFmtId="0" fontId="9" fillId="0" borderId="7" xfId="10" applyFont="1" applyFill="1" applyBorder="1" applyAlignment="1">
      <alignment horizontal="center" vertical="center" wrapText="1"/>
    </xf>
    <xf numFmtId="0" fontId="9" fillId="0" borderId="6" xfId="10" applyFont="1" applyFill="1" applyBorder="1" applyAlignment="1">
      <alignment horizontal="center" vertical="center" wrapText="1"/>
    </xf>
    <xf numFmtId="0" fontId="6" fillId="5" borderId="1" xfId="1" applyFont="1" applyFill="1" applyBorder="1" applyAlignment="1">
      <alignment horizontal="center" vertical="center" wrapText="1"/>
    </xf>
    <xf numFmtId="0" fontId="6" fillId="5" borderId="2" xfId="1" applyFont="1" applyFill="1" applyBorder="1" applyAlignment="1">
      <alignment horizontal="center" vertical="center" wrapText="1"/>
    </xf>
    <xf numFmtId="0" fontId="8" fillId="0" borderId="1" xfId="10" applyFont="1" applyFill="1" applyBorder="1" applyAlignment="1">
      <alignment horizontal="center" vertical="center" wrapText="1"/>
    </xf>
    <xf numFmtId="0" fontId="8" fillId="0" borderId="2" xfId="10" applyFont="1" applyFill="1" applyBorder="1" applyAlignment="1">
      <alignment horizontal="center" vertical="center" wrapText="1"/>
    </xf>
    <xf numFmtId="0" fontId="6" fillId="0" borderId="10" xfId="1" applyFont="1" applyFill="1" applyBorder="1" applyAlignment="1">
      <alignment horizontal="center" vertical="center" wrapText="1"/>
    </xf>
    <xf numFmtId="0" fontId="6" fillId="0" borderId="12" xfId="1" applyFont="1" applyFill="1" applyBorder="1" applyAlignment="1">
      <alignment horizontal="center" vertical="center" wrapText="1"/>
    </xf>
    <xf numFmtId="0" fontId="12" fillId="0" borderId="19" xfId="1" applyFont="1" applyFill="1" applyBorder="1" applyAlignment="1">
      <alignment horizontal="left" vertical="center"/>
    </xf>
    <xf numFmtId="0" fontId="12" fillId="0" borderId="20" xfId="1" applyFont="1" applyFill="1" applyBorder="1" applyAlignment="1">
      <alignment horizontal="left" vertical="center"/>
    </xf>
    <xf numFmtId="0" fontId="13" fillId="0" borderId="5" xfId="11" applyFont="1" applyFill="1" applyBorder="1" applyAlignment="1">
      <alignment horizontal="left" vertical="center"/>
    </xf>
    <xf numFmtId="0" fontId="6" fillId="0" borderId="0" xfId="1" applyFont="1" applyFill="1" applyBorder="1" applyAlignment="1">
      <alignment horizontal="left"/>
    </xf>
  </cellXfs>
  <cellStyles count="13">
    <cellStyle name="Excel Built-in Normal" xfId="12"/>
    <cellStyle name="Normální" xfId="0" builtinId="0"/>
    <cellStyle name="Normální 10" xfId="1"/>
    <cellStyle name="normální 2" xfId="2"/>
    <cellStyle name="Normální 3" xfId="3"/>
    <cellStyle name="Normální 4" xfId="4"/>
    <cellStyle name="Normální 5" xfId="5"/>
    <cellStyle name="Normální 6" xfId="6"/>
    <cellStyle name="Normální 7" xfId="7"/>
    <cellStyle name="Normální 8" xfId="8"/>
    <cellStyle name="Normální 9" xfId="9"/>
    <cellStyle name="normální_kultura2-upravené priority-3" xfId="10"/>
    <cellStyle name="normální_Sešit1" xfId="11"/>
  </cellStyles>
  <dxfs count="0"/>
  <tableStyles count="0" defaultTableStyle="TableStyleMedium2" defaultPivotStyle="PivotStyleLight16"/>
  <colors>
    <mruColors>
      <color rgb="FFFF3300"/>
      <color rgb="FFFF505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B1:V40"/>
  <sheetViews>
    <sheetView tabSelected="1" zoomScaleNormal="100" zoomScaleSheetLayoutView="100" workbookViewId="0">
      <selection activeCell="Y11" sqref="Y11"/>
    </sheetView>
  </sheetViews>
  <sheetFormatPr defaultRowHeight="15" x14ac:dyDescent="0.25"/>
  <cols>
    <col min="1" max="1" width="1.5703125" customWidth="1"/>
    <col min="2" max="2" width="6.7109375" customWidth="1"/>
    <col min="3" max="3" width="9.140625" customWidth="1"/>
    <col min="4" max="4" width="63.7109375" customWidth="1"/>
    <col min="5" max="5" width="17.7109375" customWidth="1"/>
    <col min="6" max="6" width="16.28515625" customWidth="1"/>
    <col min="7" max="20" width="16.28515625" hidden="1" customWidth="1"/>
    <col min="21" max="21" width="17.42578125" customWidth="1"/>
    <col min="22" max="22" width="19.7109375" customWidth="1"/>
  </cols>
  <sheetData>
    <row r="1" spans="2:22" ht="19.5" thickBot="1" x14ac:dyDescent="0.35">
      <c r="B1" s="93" t="s">
        <v>38</v>
      </c>
      <c r="C1" s="93"/>
      <c r="D1" s="93"/>
      <c r="E1" s="93"/>
      <c r="F1" s="54"/>
      <c r="G1" s="54"/>
      <c r="H1" s="54"/>
      <c r="I1" s="54"/>
      <c r="J1" s="54"/>
      <c r="K1" s="54"/>
      <c r="L1" s="54"/>
      <c r="M1" s="54"/>
      <c r="N1" s="54"/>
      <c r="O1" s="54"/>
      <c r="P1" s="54"/>
      <c r="Q1" s="54"/>
      <c r="R1" s="54"/>
      <c r="S1" s="54"/>
      <c r="T1" s="54"/>
      <c r="U1" s="54"/>
      <c r="V1" s="1" t="s">
        <v>30</v>
      </c>
    </row>
    <row r="2" spans="2:22" ht="15.75" customHeight="1" thickTop="1" x14ac:dyDescent="0.25">
      <c r="B2" s="98" t="s">
        <v>5</v>
      </c>
      <c r="C2" s="96" t="s">
        <v>0</v>
      </c>
      <c r="D2" s="96" t="s">
        <v>1</v>
      </c>
      <c r="E2" s="100" t="s">
        <v>36</v>
      </c>
      <c r="F2" s="89" t="s">
        <v>28</v>
      </c>
      <c r="G2" s="89" t="s">
        <v>77</v>
      </c>
      <c r="H2" s="89" t="s">
        <v>81</v>
      </c>
      <c r="I2" s="89" t="s">
        <v>73</v>
      </c>
      <c r="J2" s="89" t="s">
        <v>59</v>
      </c>
      <c r="K2" s="89" t="s">
        <v>57</v>
      </c>
      <c r="L2" s="89" t="s">
        <v>55</v>
      </c>
      <c r="M2" s="89" t="s">
        <v>47</v>
      </c>
      <c r="N2" s="89" t="s">
        <v>41</v>
      </c>
      <c r="O2" s="89" t="s">
        <v>58</v>
      </c>
      <c r="P2" s="89" t="s">
        <v>42</v>
      </c>
      <c r="Q2" s="89" t="s">
        <v>43</v>
      </c>
      <c r="R2" s="89" t="s">
        <v>44</v>
      </c>
      <c r="S2" s="89" t="s">
        <v>45</v>
      </c>
      <c r="T2" s="89" t="s">
        <v>46</v>
      </c>
      <c r="U2" s="89" t="s">
        <v>50</v>
      </c>
      <c r="V2" s="94" t="s">
        <v>27</v>
      </c>
    </row>
    <row r="3" spans="2:22" ht="48.75" customHeight="1" thickBot="1" x14ac:dyDescent="0.3">
      <c r="B3" s="99"/>
      <c r="C3" s="97"/>
      <c r="D3" s="97"/>
      <c r="E3" s="101"/>
      <c r="F3" s="90"/>
      <c r="G3" s="90"/>
      <c r="H3" s="90"/>
      <c r="I3" s="90"/>
      <c r="J3" s="90"/>
      <c r="K3" s="90"/>
      <c r="L3" s="90"/>
      <c r="M3" s="90"/>
      <c r="N3" s="90"/>
      <c r="O3" s="90"/>
      <c r="P3" s="90"/>
      <c r="Q3" s="90"/>
      <c r="R3" s="90"/>
      <c r="S3" s="90"/>
      <c r="T3" s="90"/>
      <c r="U3" s="90"/>
      <c r="V3" s="95"/>
    </row>
    <row r="4" spans="2:22" ht="16.5" thickTop="1" x14ac:dyDescent="0.25">
      <c r="B4" s="60">
        <v>50</v>
      </c>
      <c r="C4" s="61">
        <v>100915</v>
      </c>
      <c r="D4" s="62" t="s">
        <v>31</v>
      </c>
      <c r="E4" s="63">
        <v>100827566.23</v>
      </c>
      <c r="F4" s="63">
        <f>SUM(G4:T4)</f>
        <v>84555493</v>
      </c>
      <c r="G4" s="63"/>
      <c r="H4" s="63"/>
      <c r="I4" s="63"/>
      <c r="J4" s="63"/>
      <c r="K4" s="63"/>
      <c r="L4" s="63"/>
      <c r="M4" s="63"/>
      <c r="N4" s="63"/>
      <c r="O4" s="63"/>
      <c r="P4" s="63"/>
      <c r="Q4" s="63"/>
      <c r="R4" s="63">
        <v>50732493</v>
      </c>
      <c r="S4" s="63"/>
      <c r="T4" s="63">
        <v>33823000</v>
      </c>
      <c r="U4" s="63">
        <f>35722939.54+48832553.46</f>
        <v>84555493</v>
      </c>
      <c r="V4" s="64">
        <f>F4-U4</f>
        <v>0</v>
      </c>
    </row>
    <row r="5" spans="2:22" ht="15" customHeight="1" x14ac:dyDescent="0.25">
      <c r="B5" s="65">
        <v>52</v>
      </c>
      <c r="C5" s="66">
        <v>101080</v>
      </c>
      <c r="D5" s="67" t="s">
        <v>29</v>
      </c>
      <c r="E5" s="68">
        <v>43111962.899999999</v>
      </c>
      <c r="F5" s="68">
        <f t="shared" ref="F5:F37" si="0">SUM(G5:T5)</f>
        <v>9439839</v>
      </c>
      <c r="G5" s="68">
        <f>548022.6+827964.9</f>
        <v>1375987.5</v>
      </c>
      <c r="H5" s="68">
        <f>112455+4737.6</f>
        <v>117192.6</v>
      </c>
      <c r="I5" s="68">
        <f>4737.6+548435.7</f>
        <v>553173.29999999993</v>
      </c>
      <c r="J5" s="68">
        <v>3202485.6</v>
      </c>
      <c r="K5" s="68"/>
      <c r="L5" s="68"/>
      <c r="M5" s="68"/>
      <c r="N5" s="68"/>
      <c r="O5" s="68"/>
      <c r="P5" s="68"/>
      <c r="Q5" s="68"/>
      <c r="R5" s="68"/>
      <c r="S5" s="68"/>
      <c r="T5" s="68">
        <f>15037000-7315000-431000-3100000</f>
        <v>4191000</v>
      </c>
      <c r="U5" s="68"/>
      <c r="V5" s="69">
        <f>F5-U5</f>
        <v>9439839</v>
      </c>
    </row>
    <row r="6" spans="2:22" ht="15.75" x14ac:dyDescent="0.25">
      <c r="B6" s="65">
        <v>12</v>
      </c>
      <c r="C6" s="66">
        <v>1600</v>
      </c>
      <c r="D6" s="67" t="s">
        <v>32</v>
      </c>
      <c r="E6" s="68">
        <v>164072363.22</v>
      </c>
      <c r="F6" s="68">
        <f t="shared" si="0"/>
        <v>85151180.460000008</v>
      </c>
      <c r="G6" s="68">
        <v>3572543.77</v>
      </c>
      <c r="H6" s="68"/>
      <c r="I6" s="68"/>
      <c r="J6" s="68">
        <v>483066.76</v>
      </c>
      <c r="K6" s="68"/>
      <c r="L6" s="68"/>
      <c r="M6" s="68">
        <v>13541731.43</v>
      </c>
      <c r="N6" s="68"/>
      <c r="O6" s="68">
        <v>12413444.029999999</v>
      </c>
      <c r="P6" s="68">
        <f>27436365.11-6090000-3100000</f>
        <v>18246365.109999999</v>
      </c>
      <c r="Q6" s="68">
        <v>15658817.550000001</v>
      </c>
      <c r="R6" s="68">
        <v>8315262.8799999999</v>
      </c>
      <c r="S6" s="68">
        <f>3729948.93+6090000</f>
        <v>9819948.9299999997</v>
      </c>
      <c r="T6" s="68">
        <f>3100000</f>
        <v>3100000</v>
      </c>
      <c r="U6" s="68"/>
      <c r="V6" s="69">
        <f>F6-U6</f>
        <v>85151180.460000008</v>
      </c>
    </row>
    <row r="7" spans="2:22" ht="15.75" x14ac:dyDescent="0.25">
      <c r="B7" s="65">
        <v>12</v>
      </c>
      <c r="C7" s="66">
        <v>1600</v>
      </c>
      <c r="D7" s="67" t="s">
        <v>33</v>
      </c>
      <c r="E7" s="68">
        <v>25919753.140000001</v>
      </c>
      <c r="F7" s="68">
        <f t="shared" si="0"/>
        <v>15076976.01</v>
      </c>
      <c r="G7" s="68">
        <v>4356</v>
      </c>
      <c r="H7" s="68"/>
      <c r="I7" s="68"/>
      <c r="J7" s="68"/>
      <c r="K7" s="68"/>
      <c r="L7" s="68"/>
      <c r="M7" s="68"/>
      <c r="N7" s="68">
        <v>3237175.44</v>
      </c>
      <c r="O7" s="68">
        <v>6991149.0999999996</v>
      </c>
      <c r="P7" s="68">
        <v>4356</v>
      </c>
      <c r="Q7" s="68">
        <v>3816000.31</v>
      </c>
      <c r="R7" s="68">
        <v>806397.55</v>
      </c>
      <c r="S7" s="68">
        <v>217541.61</v>
      </c>
      <c r="T7" s="68"/>
      <c r="U7" s="68"/>
      <c r="V7" s="69">
        <f t="shared" ref="V7:V14" si="1">F7-U7</f>
        <v>15076976.01</v>
      </c>
    </row>
    <row r="8" spans="2:22" ht="31.5" x14ac:dyDescent="0.25">
      <c r="B8" s="65">
        <v>52</v>
      </c>
      <c r="C8" s="66">
        <v>100768</v>
      </c>
      <c r="D8" s="67" t="s">
        <v>34</v>
      </c>
      <c r="E8" s="68">
        <v>56075578.880000003</v>
      </c>
      <c r="F8" s="68">
        <f t="shared" si="0"/>
        <v>5029716.51</v>
      </c>
      <c r="G8" s="68">
        <v>6012</v>
      </c>
      <c r="H8" s="68">
        <v>1911435.95</v>
      </c>
      <c r="I8" s="68">
        <f>1822719.58+107218.8-53669.82</f>
        <v>1876268.56</v>
      </c>
      <c r="J8" s="68"/>
      <c r="K8" s="68"/>
      <c r="L8" s="68"/>
      <c r="M8" s="68"/>
      <c r="N8" s="68"/>
      <c r="O8" s="68"/>
      <c r="P8" s="68"/>
      <c r="Q8" s="68"/>
      <c r="R8" s="68"/>
      <c r="S8" s="68">
        <f>7326000-6090000</f>
        <v>1236000</v>
      </c>
      <c r="T8" s="68"/>
      <c r="U8" s="68"/>
      <c r="V8" s="69">
        <f t="shared" si="1"/>
        <v>5029716.51</v>
      </c>
    </row>
    <row r="9" spans="2:22" ht="22.5" customHeight="1" x14ac:dyDescent="0.25">
      <c r="B9" s="65">
        <v>52</v>
      </c>
      <c r="C9" s="66">
        <v>101011</v>
      </c>
      <c r="D9" s="67" t="s">
        <v>35</v>
      </c>
      <c r="E9" s="68">
        <v>106577847.90000001</v>
      </c>
      <c r="F9" s="68">
        <f t="shared" si="0"/>
        <v>52662188.700000003</v>
      </c>
      <c r="G9" s="68">
        <v>8820.9</v>
      </c>
      <c r="H9" s="68">
        <f>19057.5+11037194.45</f>
        <v>11056251.949999999</v>
      </c>
      <c r="I9" s="68">
        <f>4465625.29-155311.38</f>
        <v>4310313.91</v>
      </c>
      <c r="J9" s="68"/>
      <c r="K9" s="68"/>
      <c r="L9" s="68">
        <v>4410.46</v>
      </c>
      <c r="M9" s="68"/>
      <c r="N9" s="68"/>
      <c r="O9" s="68">
        <v>11162291.48</v>
      </c>
      <c r="P9" s="68"/>
      <c r="Q9" s="68"/>
      <c r="R9" s="68"/>
      <c r="S9" s="68">
        <v>26120100</v>
      </c>
      <c r="T9" s="68"/>
      <c r="U9" s="68"/>
      <c r="V9" s="69">
        <f t="shared" si="1"/>
        <v>52662188.700000003</v>
      </c>
    </row>
    <row r="10" spans="2:22" ht="22.5" customHeight="1" x14ac:dyDescent="0.25">
      <c r="B10" s="65">
        <v>50</v>
      </c>
      <c r="C10" s="66">
        <v>100913</v>
      </c>
      <c r="D10" s="67" t="s">
        <v>37</v>
      </c>
      <c r="E10" s="68">
        <v>186867763.41</v>
      </c>
      <c r="F10" s="68">
        <f t="shared" si="0"/>
        <v>74347889.75</v>
      </c>
      <c r="G10" s="68">
        <f>9583.2+114345</f>
        <v>123928.2</v>
      </c>
      <c r="H10" s="68">
        <f>38136570.76</f>
        <v>38136570.759999998</v>
      </c>
      <c r="I10" s="68">
        <f>30293637.38+1781978.67+9583.2-3743808.46</f>
        <v>28341390.789999995</v>
      </c>
      <c r="J10" s="68"/>
      <c r="K10" s="68"/>
      <c r="L10" s="68"/>
      <c r="M10" s="68"/>
      <c r="N10" s="68"/>
      <c r="O10" s="68"/>
      <c r="P10" s="68"/>
      <c r="Q10" s="68"/>
      <c r="R10" s="68"/>
      <c r="S10" s="68"/>
      <c r="T10" s="68">
        <f>7315000+431000</f>
        <v>7746000</v>
      </c>
      <c r="U10" s="68"/>
      <c r="V10" s="69">
        <f t="shared" si="1"/>
        <v>74347889.75</v>
      </c>
    </row>
    <row r="11" spans="2:22" ht="31.5" x14ac:dyDescent="0.25">
      <c r="B11" s="65">
        <v>52</v>
      </c>
      <c r="C11" s="66">
        <v>100876</v>
      </c>
      <c r="D11" s="67" t="s">
        <v>39</v>
      </c>
      <c r="E11" s="68">
        <v>14059857.4</v>
      </c>
      <c r="F11" s="68">
        <f t="shared" si="0"/>
        <v>4227468</v>
      </c>
      <c r="G11" s="68">
        <f>1001767.6</f>
        <v>1001767.6</v>
      </c>
      <c r="H11" s="68">
        <v>7744</v>
      </c>
      <c r="I11" s="68"/>
      <c r="J11" s="68">
        <v>7744</v>
      </c>
      <c r="K11" s="68">
        <f>827852.4+7744</f>
        <v>835596.4</v>
      </c>
      <c r="L11" s="68"/>
      <c r="M11" s="68">
        <f>7744+2359128</f>
        <v>2366872</v>
      </c>
      <c r="N11" s="68">
        <v>7744</v>
      </c>
      <c r="O11" s="68"/>
      <c r="P11" s="68"/>
      <c r="Q11" s="68"/>
      <c r="R11" s="68"/>
      <c r="S11" s="68"/>
      <c r="T11" s="68"/>
      <c r="U11" s="68"/>
      <c r="V11" s="69">
        <f t="shared" si="1"/>
        <v>4227468</v>
      </c>
    </row>
    <row r="12" spans="2:22" ht="31.5" x14ac:dyDescent="0.25">
      <c r="B12" s="70">
        <v>19</v>
      </c>
      <c r="C12" s="71">
        <v>1160</v>
      </c>
      <c r="D12" s="72" t="s">
        <v>75</v>
      </c>
      <c r="E12" s="73">
        <v>3033505.38</v>
      </c>
      <c r="F12" s="68">
        <f t="shared" si="0"/>
        <v>963699.3</v>
      </c>
      <c r="G12" s="73"/>
      <c r="H12" s="73">
        <v>457598.7</v>
      </c>
      <c r="I12" s="73"/>
      <c r="J12" s="73"/>
      <c r="K12" s="73"/>
      <c r="L12" s="73"/>
      <c r="M12" s="73">
        <v>506100.6</v>
      </c>
      <c r="N12" s="73"/>
      <c r="O12" s="73"/>
      <c r="P12" s="73"/>
      <c r="Q12" s="73"/>
      <c r="R12" s="73"/>
      <c r="S12" s="73"/>
      <c r="T12" s="73"/>
      <c r="U12" s="73"/>
      <c r="V12" s="74">
        <f t="shared" si="1"/>
        <v>963699.3</v>
      </c>
    </row>
    <row r="13" spans="2:22" ht="31.5" x14ac:dyDescent="0.25">
      <c r="B13" s="65">
        <v>52</v>
      </c>
      <c r="C13" s="66">
        <v>101131</v>
      </c>
      <c r="D13" s="67" t="s">
        <v>48</v>
      </c>
      <c r="E13" s="68">
        <v>6600154.5</v>
      </c>
      <c r="F13" s="68">
        <f t="shared" si="0"/>
        <v>11762.53</v>
      </c>
      <c r="G13" s="73"/>
      <c r="H13" s="73"/>
      <c r="I13" s="73"/>
      <c r="J13" s="73"/>
      <c r="K13" s="73"/>
      <c r="L13" s="68">
        <v>11762.53</v>
      </c>
      <c r="M13" s="68"/>
      <c r="N13" s="68"/>
      <c r="O13" s="68"/>
      <c r="P13" s="68"/>
      <c r="Q13" s="68"/>
      <c r="R13" s="68"/>
      <c r="S13" s="68"/>
      <c r="T13" s="68"/>
      <c r="U13" s="68"/>
      <c r="V13" s="74">
        <f t="shared" si="1"/>
        <v>11762.53</v>
      </c>
    </row>
    <row r="14" spans="2:22" ht="31.5" customHeight="1" x14ac:dyDescent="0.25">
      <c r="B14" s="70">
        <v>52</v>
      </c>
      <c r="C14" s="71">
        <v>101256</v>
      </c>
      <c r="D14" s="72" t="s">
        <v>49</v>
      </c>
      <c r="E14" s="73">
        <v>655578</v>
      </c>
      <c r="F14" s="68">
        <f t="shared" si="0"/>
        <v>1204</v>
      </c>
      <c r="G14" s="73"/>
      <c r="H14" s="73"/>
      <c r="I14" s="73"/>
      <c r="J14" s="73"/>
      <c r="K14" s="73"/>
      <c r="L14" s="73">
        <v>1204</v>
      </c>
      <c r="M14" s="73"/>
      <c r="N14" s="73"/>
      <c r="O14" s="73"/>
      <c r="P14" s="73"/>
      <c r="Q14" s="73"/>
      <c r="R14" s="73"/>
      <c r="S14" s="73"/>
      <c r="T14" s="73"/>
      <c r="U14" s="73"/>
      <c r="V14" s="74">
        <f t="shared" si="1"/>
        <v>1204</v>
      </c>
    </row>
    <row r="15" spans="2:22" ht="15.75" x14ac:dyDescent="0.25">
      <c r="B15" s="70">
        <v>52</v>
      </c>
      <c r="C15" s="71">
        <v>101019</v>
      </c>
      <c r="D15" s="72" t="s">
        <v>51</v>
      </c>
      <c r="E15" s="73">
        <v>4174276</v>
      </c>
      <c r="F15" s="68">
        <f t="shared" si="0"/>
        <v>14520</v>
      </c>
      <c r="G15" s="73"/>
      <c r="H15" s="73"/>
      <c r="I15" s="73"/>
      <c r="J15" s="73"/>
      <c r="K15" s="73">
        <v>14520</v>
      </c>
      <c r="L15" s="73"/>
      <c r="M15" s="73"/>
      <c r="N15" s="73"/>
      <c r="O15" s="73"/>
      <c r="P15" s="73"/>
      <c r="Q15" s="73"/>
      <c r="R15" s="73"/>
      <c r="S15" s="73"/>
      <c r="T15" s="73"/>
      <c r="U15" s="73"/>
      <c r="V15" s="74">
        <f>F15-U15</f>
        <v>14520</v>
      </c>
    </row>
    <row r="16" spans="2:22" ht="31.5" x14ac:dyDescent="0.25">
      <c r="B16" s="65">
        <v>52</v>
      </c>
      <c r="C16" s="66">
        <v>101141</v>
      </c>
      <c r="D16" s="67" t="s">
        <v>52</v>
      </c>
      <c r="E16" s="68">
        <v>5837078.4000000004</v>
      </c>
      <c r="F16" s="68">
        <f t="shared" si="0"/>
        <v>29040</v>
      </c>
      <c r="G16" s="68">
        <v>17424</v>
      </c>
      <c r="H16" s="68"/>
      <c r="I16" s="68"/>
      <c r="J16" s="68"/>
      <c r="K16" s="68">
        <v>11616</v>
      </c>
      <c r="L16" s="68"/>
      <c r="M16" s="68"/>
      <c r="N16" s="68"/>
      <c r="O16" s="68"/>
      <c r="P16" s="68"/>
      <c r="Q16" s="68"/>
      <c r="R16" s="68"/>
      <c r="S16" s="68"/>
      <c r="T16" s="68"/>
      <c r="U16" s="68"/>
      <c r="V16" s="74">
        <f t="shared" ref="V16:V18" si="2">F16-U16</f>
        <v>29040</v>
      </c>
    </row>
    <row r="17" spans="2:22" ht="31.5" x14ac:dyDescent="0.25">
      <c r="B17" s="65">
        <v>52</v>
      </c>
      <c r="C17" s="66">
        <v>101257</v>
      </c>
      <c r="D17" s="67" t="s">
        <v>54</v>
      </c>
      <c r="E17" s="68">
        <v>677938.8</v>
      </c>
      <c r="F17" s="68">
        <f t="shared" si="0"/>
        <v>3084.2</v>
      </c>
      <c r="G17" s="68"/>
      <c r="H17" s="68"/>
      <c r="I17" s="68"/>
      <c r="J17" s="68"/>
      <c r="K17" s="68">
        <v>3084.2</v>
      </c>
      <c r="L17" s="68"/>
      <c r="M17" s="68"/>
      <c r="N17" s="68"/>
      <c r="O17" s="68"/>
      <c r="P17" s="68"/>
      <c r="Q17" s="68"/>
      <c r="R17" s="68"/>
      <c r="S17" s="68"/>
      <c r="T17" s="68"/>
      <c r="U17" s="68"/>
      <c r="V17" s="74">
        <f t="shared" si="2"/>
        <v>3084.2</v>
      </c>
    </row>
    <row r="18" spans="2:22" ht="31.5" x14ac:dyDescent="0.25">
      <c r="B18" s="65">
        <v>52</v>
      </c>
      <c r="C18" s="66">
        <v>101088</v>
      </c>
      <c r="D18" s="67" t="s">
        <v>53</v>
      </c>
      <c r="E18" s="68">
        <v>1881943.2</v>
      </c>
      <c r="F18" s="68">
        <f t="shared" si="0"/>
        <v>9853.6</v>
      </c>
      <c r="G18" s="68"/>
      <c r="H18" s="68"/>
      <c r="I18" s="68"/>
      <c r="J18" s="68"/>
      <c r="K18" s="68">
        <v>9853.6</v>
      </c>
      <c r="L18" s="68"/>
      <c r="M18" s="68"/>
      <c r="N18" s="68"/>
      <c r="O18" s="68"/>
      <c r="P18" s="68"/>
      <c r="Q18" s="68"/>
      <c r="R18" s="68"/>
      <c r="S18" s="68"/>
      <c r="T18" s="68"/>
      <c r="U18" s="68"/>
      <c r="V18" s="74">
        <f t="shared" si="2"/>
        <v>9853.6</v>
      </c>
    </row>
    <row r="19" spans="2:22" ht="31.5" x14ac:dyDescent="0.25">
      <c r="B19" s="70">
        <v>19</v>
      </c>
      <c r="C19" s="71">
        <v>1128</v>
      </c>
      <c r="D19" s="72" t="s">
        <v>56</v>
      </c>
      <c r="E19" s="73">
        <v>2367129.3199999998</v>
      </c>
      <c r="F19" s="68">
        <f t="shared" si="0"/>
        <v>19602</v>
      </c>
      <c r="G19" s="73"/>
      <c r="H19" s="73"/>
      <c r="I19" s="73"/>
      <c r="J19" s="73"/>
      <c r="K19" s="73">
        <v>19602</v>
      </c>
      <c r="L19" s="73"/>
      <c r="M19" s="73"/>
      <c r="N19" s="73"/>
      <c r="O19" s="73"/>
      <c r="P19" s="73"/>
      <c r="Q19" s="73"/>
      <c r="R19" s="73"/>
      <c r="S19" s="73"/>
      <c r="T19" s="73"/>
      <c r="U19" s="73"/>
      <c r="V19" s="74">
        <f>F19-U19</f>
        <v>19602</v>
      </c>
    </row>
    <row r="20" spans="2:22" ht="31.5" x14ac:dyDescent="0.25">
      <c r="B20" s="65">
        <v>52</v>
      </c>
      <c r="C20" s="66">
        <v>101022</v>
      </c>
      <c r="D20" s="67" t="s">
        <v>60</v>
      </c>
      <c r="E20" s="68">
        <v>8717805.1999999993</v>
      </c>
      <c r="F20" s="68">
        <f t="shared" si="0"/>
        <v>10231.370000000001</v>
      </c>
      <c r="G20" s="73"/>
      <c r="H20" s="73"/>
      <c r="I20" s="68">
        <v>10231.370000000001</v>
      </c>
      <c r="J20" s="68"/>
      <c r="K20" s="68"/>
      <c r="L20" s="68"/>
      <c r="M20" s="68"/>
      <c r="N20" s="68"/>
      <c r="O20" s="68"/>
      <c r="P20" s="68"/>
      <c r="Q20" s="68"/>
      <c r="R20" s="68"/>
      <c r="S20" s="68"/>
      <c r="T20" s="68"/>
      <c r="U20" s="68"/>
      <c r="V20" s="74">
        <f t="shared" ref="V20:V33" si="3">F20-U20</f>
        <v>10231.370000000001</v>
      </c>
    </row>
    <row r="21" spans="2:22" ht="32.25" thickBot="1" x14ac:dyDescent="0.3">
      <c r="B21" s="75">
        <v>52</v>
      </c>
      <c r="C21" s="76">
        <v>101253</v>
      </c>
      <c r="D21" s="77" t="s">
        <v>61</v>
      </c>
      <c r="E21" s="78">
        <v>7376897.5</v>
      </c>
      <c r="F21" s="78">
        <f t="shared" si="0"/>
        <v>5100.97</v>
      </c>
      <c r="G21" s="78"/>
      <c r="H21" s="78"/>
      <c r="I21" s="78">
        <v>5100.97</v>
      </c>
      <c r="J21" s="78"/>
      <c r="K21" s="78"/>
      <c r="L21" s="78"/>
      <c r="M21" s="78"/>
      <c r="N21" s="78"/>
      <c r="O21" s="78"/>
      <c r="P21" s="78"/>
      <c r="Q21" s="78"/>
      <c r="R21" s="78"/>
      <c r="S21" s="78"/>
      <c r="T21" s="78"/>
      <c r="U21" s="78"/>
      <c r="V21" s="79">
        <f t="shared" si="3"/>
        <v>5100.97</v>
      </c>
    </row>
    <row r="22" spans="2:22" ht="32.25" thickTop="1" x14ac:dyDescent="0.25">
      <c r="B22" s="85">
        <v>19</v>
      </c>
      <c r="C22" s="86">
        <v>1216</v>
      </c>
      <c r="D22" s="87" t="s">
        <v>62</v>
      </c>
      <c r="E22" s="84">
        <v>3207794.19</v>
      </c>
      <c r="F22" s="84">
        <f t="shared" si="0"/>
        <v>10890</v>
      </c>
      <c r="G22" s="84"/>
      <c r="H22" s="84"/>
      <c r="I22" s="84">
        <v>10890</v>
      </c>
      <c r="J22" s="84"/>
      <c r="K22" s="84"/>
      <c r="L22" s="84"/>
      <c r="M22" s="84"/>
      <c r="N22" s="84"/>
      <c r="O22" s="84"/>
      <c r="P22" s="84"/>
      <c r="Q22" s="84"/>
      <c r="R22" s="84"/>
      <c r="S22" s="84"/>
      <c r="T22" s="84"/>
      <c r="U22" s="84"/>
      <c r="V22" s="88">
        <f t="shared" si="3"/>
        <v>10890</v>
      </c>
    </row>
    <row r="23" spans="2:22" ht="15.75" x14ac:dyDescent="0.25">
      <c r="B23" s="65">
        <v>59</v>
      </c>
      <c r="C23" s="66">
        <v>101135</v>
      </c>
      <c r="D23" s="67" t="s">
        <v>63</v>
      </c>
      <c r="E23" s="68">
        <v>25154862.300000001</v>
      </c>
      <c r="F23" s="68">
        <f t="shared" si="0"/>
        <v>1742400</v>
      </c>
      <c r="G23" s="73"/>
      <c r="H23" s="73"/>
      <c r="I23" s="68">
        <f>96800+1645600</f>
        <v>1742400</v>
      </c>
      <c r="J23" s="68"/>
      <c r="K23" s="68"/>
      <c r="L23" s="68"/>
      <c r="M23" s="68"/>
      <c r="N23" s="68"/>
      <c r="O23" s="68"/>
      <c r="P23" s="68"/>
      <c r="Q23" s="68"/>
      <c r="R23" s="68"/>
      <c r="S23" s="68"/>
      <c r="T23" s="68"/>
      <c r="U23" s="68"/>
      <c r="V23" s="74">
        <f t="shared" si="3"/>
        <v>1742400</v>
      </c>
    </row>
    <row r="24" spans="2:22" ht="15.75" x14ac:dyDescent="0.25">
      <c r="B24" s="70">
        <v>52</v>
      </c>
      <c r="C24" s="71">
        <v>101139</v>
      </c>
      <c r="D24" s="72" t="s">
        <v>64</v>
      </c>
      <c r="E24" s="73">
        <v>9166485.5999999996</v>
      </c>
      <c r="F24" s="68">
        <f t="shared" si="0"/>
        <v>480404.99000000005</v>
      </c>
      <c r="G24" s="73">
        <v>5092.2</v>
      </c>
      <c r="H24" s="73">
        <v>427798.52</v>
      </c>
      <c r="I24" s="73">
        <f>44874.59+2639.68</f>
        <v>47514.27</v>
      </c>
      <c r="J24" s="73"/>
      <c r="K24" s="73"/>
      <c r="L24" s="73"/>
      <c r="M24" s="73"/>
      <c r="N24" s="73"/>
      <c r="O24" s="73"/>
      <c r="P24" s="73"/>
      <c r="Q24" s="73"/>
      <c r="R24" s="73"/>
      <c r="S24" s="73"/>
      <c r="T24" s="73"/>
      <c r="U24" s="73"/>
      <c r="V24" s="74">
        <f t="shared" si="3"/>
        <v>480404.99000000005</v>
      </c>
    </row>
    <row r="25" spans="2:22" ht="31.5" x14ac:dyDescent="0.25">
      <c r="B25" s="70">
        <v>52</v>
      </c>
      <c r="C25" s="71">
        <v>101152</v>
      </c>
      <c r="D25" s="72" t="s">
        <v>65</v>
      </c>
      <c r="E25" s="73">
        <v>22320370.449999999</v>
      </c>
      <c r="F25" s="68">
        <f t="shared" si="0"/>
        <v>3344081.81</v>
      </c>
      <c r="G25" s="73">
        <v>4602.6000000000004</v>
      </c>
      <c r="H25" s="73">
        <f>31581+2740306.31</f>
        <v>2771887.31</v>
      </c>
      <c r="I25" s="73">
        <v>567591.9</v>
      </c>
      <c r="J25" s="73"/>
      <c r="K25" s="73"/>
      <c r="L25" s="73"/>
      <c r="M25" s="73"/>
      <c r="N25" s="73"/>
      <c r="O25" s="73"/>
      <c r="P25" s="73"/>
      <c r="Q25" s="73"/>
      <c r="R25" s="73"/>
      <c r="S25" s="73"/>
      <c r="T25" s="73"/>
      <c r="U25" s="73"/>
      <c r="V25" s="74">
        <f t="shared" si="3"/>
        <v>3344081.81</v>
      </c>
    </row>
    <row r="26" spans="2:22" ht="31.5" x14ac:dyDescent="0.25">
      <c r="B26" s="70">
        <v>52</v>
      </c>
      <c r="C26" s="71">
        <v>101251</v>
      </c>
      <c r="D26" s="72" t="s">
        <v>66</v>
      </c>
      <c r="E26" s="73">
        <v>8148556.5</v>
      </c>
      <c r="F26" s="68">
        <f t="shared" si="0"/>
        <v>6679.4</v>
      </c>
      <c r="G26" s="73"/>
      <c r="H26" s="73"/>
      <c r="I26" s="73">
        <v>6679.4</v>
      </c>
      <c r="J26" s="73"/>
      <c r="K26" s="73"/>
      <c r="L26" s="73"/>
      <c r="M26" s="73"/>
      <c r="N26" s="73"/>
      <c r="O26" s="73"/>
      <c r="P26" s="73"/>
      <c r="Q26" s="73"/>
      <c r="R26" s="73"/>
      <c r="S26" s="73"/>
      <c r="T26" s="73"/>
      <c r="U26" s="73"/>
      <c r="V26" s="74">
        <f t="shared" si="3"/>
        <v>6679.4</v>
      </c>
    </row>
    <row r="27" spans="2:22" ht="31.5" x14ac:dyDescent="0.25">
      <c r="B27" s="70">
        <v>52</v>
      </c>
      <c r="C27" s="71">
        <v>101113</v>
      </c>
      <c r="D27" s="72" t="s">
        <v>67</v>
      </c>
      <c r="E27" s="73">
        <v>7222500.7999999998</v>
      </c>
      <c r="F27" s="68">
        <f t="shared" si="0"/>
        <v>7799.2</v>
      </c>
      <c r="G27" s="73"/>
      <c r="H27" s="73"/>
      <c r="I27" s="73">
        <v>7799.2</v>
      </c>
      <c r="J27" s="73"/>
      <c r="K27" s="73"/>
      <c r="L27" s="73"/>
      <c r="M27" s="73"/>
      <c r="N27" s="73"/>
      <c r="O27" s="73"/>
      <c r="P27" s="73"/>
      <c r="Q27" s="73"/>
      <c r="R27" s="73"/>
      <c r="S27" s="73"/>
      <c r="T27" s="73"/>
      <c r="U27" s="73"/>
      <c r="V27" s="74">
        <f t="shared" si="3"/>
        <v>7799.2</v>
      </c>
    </row>
    <row r="28" spans="2:22" ht="31.5" x14ac:dyDescent="0.25">
      <c r="B28" s="70">
        <v>52</v>
      </c>
      <c r="C28" s="71">
        <v>101255</v>
      </c>
      <c r="D28" s="72" t="s">
        <v>68</v>
      </c>
      <c r="E28" s="73">
        <v>8159082.4000000004</v>
      </c>
      <c r="F28" s="68">
        <f t="shared" si="0"/>
        <v>6801.2</v>
      </c>
      <c r="G28" s="73"/>
      <c r="H28" s="73"/>
      <c r="I28" s="73">
        <v>6801.2</v>
      </c>
      <c r="J28" s="73"/>
      <c r="K28" s="73"/>
      <c r="L28" s="73"/>
      <c r="M28" s="73"/>
      <c r="N28" s="73"/>
      <c r="O28" s="73"/>
      <c r="P28" s="73"/>
      <c r="Q28" s="73"/>
      <c r="R28" s="73"/>
      <c r="S28" s="73"/>
      <c r="T28" s="73"/>
      <c r="U28" s="73"/>
      <c r="V28" s="74">
        <f t="shared" si="3"/>
        <v>6801.2</v>
      </c>
    </row>
    <row r="29" spans="2:22" ht="31.5" x14ac:dyDescent="0.25">
      <c r="B29" s="70">
        <v>52</v>
      </c>
      <c r="C29" s="71">
        <v>101130</v>
      </c>
      <c r="D29" s="72" t="s">
        <v>69</v>
      </c>
      <c r="E29" s="73">
        <v>9140694.5</v>
      </c>
      <c r="F29" s="68">
        <f t="shared" si="0"/>
        <v>9662</v>
      </c>
      <c r="G29" s="73"/>
      <c r="H29" s="73"/>
      <c r="I29" s="73">
        <v>9662</v>
      </c>
      <c r="J29" s="73"/>
      <c r="K29" s="73"/>
      <c r="L29" s="73"/>
      <c r="M29" s="73"/>
      <c r="N29" s="73"/>
      <c r="O29" s="73"/>
      <c r="P29" s="73"/>
      <c r="Q29" s="73"/>
      <c r="R29" s="73"/>
      <c r="S29" s="73"/>
      <c r="T29" s="73"/>
      <c r="U29" s="73"/>
      <c r="V29" s="74">
        <f t="shared" si="3"/>
        <v>9662</v>
      </c>
    </row>
    <row r="30" spans="2:22" ht="15.75" x14ac:dyDescent="0.25">
      <c r="B30" s="70">
        <v>12</v>
      </c>
      <c r="C30" s="71">
        <v>1600</v>
      </c>
      <c r="D30" s="72" t="s">
        <v>71</v>
      </c>
      <c r="E30" s="73">
        <v>148836202.09999999</v>
      </c>
      <c r="F30" s="68">
        <f>SUM(G30:T30)</f>
        <v>35403642.129999995</v>
      </c>
      <c r="G30" s="73">
        <f>44745.3+17404837.93+9855.9</f>
        <v>17459439.129999999</v>
      </c>
      <c r="H30" s="73"/>
      <c r="I30" s="73">
        <v>17944203</v>
      </c>
      <c r="J30" s="73"/>
      <c r="K30" s="73"/>
      <c r="L30" s="73"/>
      <c r="M30" s="73"/>
      <c r="N30" s="73"/>
      <c r="O30" s="73"/>
      <c r="P30" s="73"/>
      <c r="Q30" s="73"/>
      <c r="R30" s="73"/>
      <c r="S30" s="73"/>
      <c r="T30" s="73"/>
      <c r="U30" s="73"/>
      <c r="V30" s="74">
        <f t="shared" si="3"/>
        <v>35403642.129999995</v>
      </c>
    </row>
    <row r="31" spans="2:22" ht="15.75" x14ac:dyDescent="0.25">
      <c r="B31" s="70">
        <v>19</v>
      </c>
      <c r="C31" s="71">
        <v>1204</v>
      </c>
      <c r="D31" s="72" t="s">
        <v>70</v>
      </c>
      <c r="E31" s="73">
        <v>1814555.22</v>
      </c>
      <c r="F31" s="68">
        <f t="shared" si="0"/>
        <v>1722162.12</v>
      </c>
      <c r="G31" s="73"/>
      <c r="H31" s="73">
        <f>1502273.87</f>
        <v>1502273.87</v>
      </c>
      <c r="I31" s="73">
        <v>219888.25</v>
      </c>
      <c r="J31" s="73"/>
      <c r="K31" s="73"/>
      <c r="L31" s="73"/>
      <c r="M31" s="73"/>
      <c r="N31" s="73"/>
      <c r="O31" s="73"/>
      <c r="P31" s="73"/>
      <c r="Q31" s="73"/>
      <c r="R31" s="73"/>
      <c r="S31" s="73"/>
      <c r="T31" s="73"/>
      <c r="U31" s="73"/>
      <c r="V31" s="74">
        <f t="shared" si="3"/>
        <v>1722162.12</v>
      </c>
    </row>
    <row r="32" spans="2:22" ht="15.75" x14ac:dyDescent="0.25">
      <c r="B32" s="70">
        <v>50</v>
      </c>
      <c r="C32" s="71">
        <v>100920</v>
      </c>
      <c r="D32" s="72" t="s">
        <v>72</v>
      </c>
      <c r="E32" s="73">
        <v>80176109.400000006</v>
      </c>
      <c r="F32" s="68">
        <f t="shared" si="0"/>
        <v>34848</v>
      </c>
      <c r="G32" s="73"/>
      <c r="H32" s="73"/>
      <c r="I32" s="73">
        <v>34848</v>
      </c>
      <c r="J32" s="73"/>
      <c r="K32" s="73"/>
      <c r="L32" s="73"/>
      <c r="M32" s="73"/>
      <c r="N32" s="73"/>
      <c r="O32" s="73"/>
      <c r="P32" s="73"/>
      <c r="Q32" s="73"/>
      <c r="R32" s="73"/>
      <c r="S32" s="73"/>
      <c r="T32" s="73"/>
      <c r="U32" s="73"/>
      <c r="V32" s="74">
        <f t="shared" si="3"/>
        <v>34848</v>
      </c>
    </row>
    <row r="33" spans="2:22" ht="63" x14ac:dyDescent="0.25">
      <c r="B33" s="70">
        <v>59</v>
      </c>
      <c r="C33" s="71">
        <v>101157</v>
      </c>
      <c r="D33" s="72" t="s">
        <v>76</v>
      </c>
      <c r="E33" s="73">
        <v>16521356.92</v>
      </c>
      <c r="F33" s="68">
        <f t="shared" si="0"/>
        <v>123309.90000000001</v>
      </c>
      <c r="G33" s="73"/>
      <c r="H33" s="73">
        <f>116459.35+6850.55</f>
        <v>123309.90000000001</v>
      </c>
      <c r="I33" s="73"/>
      <c r="J33" s="73"/>
      <c r="K33" s="73"/>
      <c r="L33" s="73"/>
      <c r="M33" s="73"/>
      <c r="N33" s="73"/>
      <c r="O33" s="73"/>
      <c r="P33" s="73"/>
      <c r="Q33" s="73"/>
      <c r="R33" s="73"/>
      <c r="S33" s="73"/>
      <c r="T33" s="73"/>
      <c r="U33" s="73"/>
      <c r="V33" s="74">
        <f t="shared" si="3"/>
        <v>123309.90000000001</v>
      </c>
    </row>
    <row r="34" spans="2:22" ht="31.5" x14ac:dyDescent="0.25">
      <c r="B34" s="70">
        <v>19</v>
      </c>
      <c r="C34" s="71">
        <v>1208</v>
      </c>
      <c r="D34" s="72" t="s">
        <v>74</v>
      </c>
      <c r="E34" s="73">
        <v>2790000</v>
      </c>
      <c r="F34" s="73">
        <f t="shared" si="0"/>
        <v>364580.96</v>
      </c>
      <c r="G34" s="73"/>
      <c r="H34" s="73">
        <v>364580.96</v>
      </c>
      <c r="I34" s="73"/>
      <c r="J34" s="73"/>
      <c r="K34" s="73"/>
      <c r="L34" s="73"/>
      <c r="M34" s="73"/>
      <c r="N34" s="73"/>
      <c r="O34" s="73"/>
      <c r="P34" s="73"/>
      <c r="Q34" s="73"/>
      <c r="R34" s="73"/>
      <c r="S34" s="73"/>
      <c r="T34" s="73"/>
      <c r="U34" s="73"/>
      <c r="V34" s="74">
        <f>F34-U34</f>
        <v>364580.96</v>
      </c>
    </row>
    <row r="35" spans="2:22" ht="15.75" x14ac:dyDescent="0.25">
      <c r="B35" s="65">
        <v>12</v>
      </c>
      <c r="C35" s="66">
        <v>1600</v>
      </c>
      <c r="D35" s="67" t="s">
        <v>78</v>
      </c>
      <c r="E35" s="68">
        <v>32403507.600000001</v>
      </c>
      <c r="F35" s="68">
        <f t="shared" si="0"/>
        <v>1762524.47</v>
      </c>
      <c r="G35" s="68">
        <v>1762524.47</v>
      </c>
      <c r="H35" s="68"/>
      <c r="I35" s="68"/>
      <c r="J35" s="68"/>
      <c r="K35" s="68"/>
      <c r="L35" s="68"/>
      <c r="M35" s="68"/>
      <c r="N35" s="68"/>
      <c r="O35" s="68"/>
      <c r="P35" s="68"/>
      <c r="Q35" s="68"/>
      <c r="R35" s="68"/>
      <c r="S35" s="68"/>
      <c r="T35" s="68"/>
      <c r="U35" s="68"/>
      <c r="V35" s="69">
        <f>F35-U35</f>
        <v>1762524.47</v>
      </c>
    </row>
    <row r="36" spans="2:22" ht="31.5" x14ac:dyDescent="0.25">
      <c r="B36" s="65">
        <v>19</v>
      </c>
      <c r="C36" s="66">
        <v>1106</v>
      </c>
      <c r="D36" s="67" t="s">
        <v>79</v>
      </c>
      <c r="E36" s="68">
        <v>4107684.97</v>
      </c>
      <c r="F36" s="68">
        <f t="shared" si="0"/>
        <v>10890</v>
      </c>
      <c r="G36" s="68">
        <v>10890</v>
      </c>
      <c r="H36" s="68"/>
      <c r="I36" s="68"/>
      <c r="J36" s="68"/>
      <c r="K36" s="68"/>
      <c r="L36" s="68"/>
      <c r="M36" s="68"/>
      <c r="N36" s="68"/>
      <c r="O36" s="68"/>
      <c r="P36" s="68"/>
      <c r="Q36" s="68"/>
      <c r="R36" s="68"/>
      <c r="S36" s="68"/>
      <c r="T36" s="68"/>
      <c r="U36" s="68"/>
      <c r="V36" s="69">
        <f t="shared" ref="V36:V37" si="4">F36-U36</f>
        <v>10890</v>
      </c>
    </row>
    <row r="37" spans="2:22" ht="48" thickBot="1" x14ac:dyDescent="0.3">
      <c r="B37" s="80">
        <v>19</v>
      </c>
      <c r="C37" s="81">
        <v>1205</v>
      </c>
      <c r="D37" s="82" t="s">
        <v>80</v>
      </c>
      <c r="E37" s="83">
        <v>3356943.54</v>
      </c>
      <c r="F37" s="68">
        <f t="shared" si="0"/>
        <v>411609.59999999998</v>
      </c>
      <c r="G37" s="83">
        <v>411609.59999999998</v>
      </c>
      <c r="H37" s="83"/>
      <c r="I37" s="83"/>
      <c r="J37" s="83"/>
      <c r="K37" s="83"/>
      <c r="L37" s="83"/>
      <c r="M37" s="83"/>
      <c r="N37" s="83"/>
      <c r="O37" s="83"/>
      <c r="P37" s="83"/>
      <c r="Q37" s="83"/>
      <c r="R37" s="83"/>
      <c r="S37" s="83"/>
      <c r="T37" s="83"/>
      <c r="U37" s="83"/>
      <c r="V37" s="69">
        <f t="shared" si="4"/>
        <v>411609.59999999998</v>
      </c>
    </row>
    <row r="38" spans="2:22" ht="20.100000000000001" customHeight="1" thickTop="1" thickBot="1" x14ac:dyDescent="0.3">
      <c r="B38" s="55"/>
      <c r="C38" s="56"/>
      <c r="D38" s="56"/>
      <c r="E38" s="57">
        <f>SUM(E4:E37)</f>
        <v>1121361705.8699999</v>
      </c>
      <c r="F38" s="57">
        <f>SUM(F4:F37)</f>
        <v>377001135.18000001</v>
      </c>
      <c r="G38" s="57">
        <f>SUM(G4:G37)</f>
        <v>25764997.969999999</v>
      </c>
      <c r="H38" s="57">
        <f t="shared" ref="H38:J38" si="5">SUM(H4:H37)</f>
        <v>56876644.520000003</v>
      </c>
      <c r="I38" s="57">
        <f t="shared" si="5"/>
        <v>55694756.119999997</v>
      </c>
      <c r="J38" s="57">
        <f t="shared" si="5"/>
        <v>3693296.3600000003</v>
      </c>
      <c r="K38" s="57">
        <f t="shared" ref="K38:T38" si="6">SUM(K4:K35)</f>
        <v>894272.2</v>
      </c>
      <c r="L38" s="57">
        <f t="shared" si="6"/>
        <v>17376.990000000002</v>
      </c>
      <c r="M38" s="57">
        <f t="shared" si="6"/>
        <v>16414704.029999999</v>
      </c>
      <c r="N38" s="57">
        <f t="shared" si="6"/>
        <v>3244919.44</v>
      </c>
      <c r="O38" s="57">
        <f t="shared" si="6"/>
        <v>30566884.609999999</v>
      </c>
      <c r="P38" s="57">
        <f t="shared" si="6"/>
        <v>18250721.109999999</v>
      </c>
      <c r="Q38" s="57">
        <f t="shared" si="6"/>
        <v>19474817.859999999</v>
      </c>
      <c r="R38" s="57">
        <f t="shared" si="6"/>
        <v>59854153.43</v>
      </c>
      <c r="S38" s="57">
        <f t="shared" si="6"/>
        <v>37393590.539999999</v>
      </c>
      <c r="T38" s="57">
        <f t="shared" si="6"/>
        <v>48860000</v>
      </c>
      <c r="U38" s="57">
        <f>SUM(U4:U37)</f>
        <v>84555493</v>
      </c>
      <c r="V38" s="58">
        <f>SUM(V4:V37)</f>
        <v>292445642.18000001</v>
      </c>
    </row>
    <row r="39" spans="2:22" ht="24.75" customHeight="1" thickTop="1" thickBot="1" x14ac:dyDescent="0.3">
      <c r="B39" s="91" t="s">
        <v>40</v>
      </c>
      <c r="C39" s="92"/>
      <c r="D39" s="92"/>
      <c r="E39" s="92"/>
      <c r="F39" s="92"/>
      <c r="G39" s="92"/>
      <c r="H39" s="92"/>
      <c r="I39" s="92"/>
      <c r="J39" s="92"/>
      <c r="K39" s="92"/>
      <c r="L39" s="92"/>
      <c r="M39" s="92"/>
      <c r="N39" s="92"/>
      <c r="O39" s="92"/>
      <c r="P39" s="92"/>
      <c r="Q39" s="92"/>
      <c r="R39" s="92"/>
      <c r="S39" s="92"/>
      <c r="T39" s="92"/>
      <c r="U39" s="92"/>
      <c r="V39" s="59">
        <f>600000000-V38</f>
        <v>307554357.81999999</v>
      </c>
    </row>
    <row r="40" spans="2:22" ht="15.75" thickTop="1" x14ac:dyDescent="0.25"/>
  </sheetData>
  <mergeCells count="23">
    <mergeCell ref="G2:G3"/>
    <mergeCell ref="B39:U39"/>
    <mergeCell ref="B1:E1"/>
    <mergeCell ref="U2:U3"/>
    <mergeCell ref="V2:V3"/>
    <mergeCell ref="F2:F3"/>
    <mergeCell ref="C2:C3"/>
    <mergeCell ref="D2:D3"/>
    <mergeCell ref="B2:B3"/>
    <mergeCell ref="E2:E3"/>
    <mergeCell ref="Q2:Q3"/>
    <mergeCell ref="R2:R3"/>
    <mergeCell ref="S2:S3"/>
    <mergeCell ref="T2:T3"/>
    <mergeCell ref="P2:P3"/>
    <mergeCell ref="O2:O3"/>
    <mergeCell ref="L2:L3"/>
    <mergeCell ref="H2:H3"/>
    <mergeCell ref="N2:N3"/>
    <mergeCell ref="M2:M3"/>
    <mergeCell ref="K2:K3"/>
    <mergeCell ref="I2:I3"/>
    <mergeCell ref="J2:J3"/>
  </mergeCells>
  <pageMargins left="0.70866141732283472" right="0.70866141732283472" top="0.39370078740157483" bottom="0.78740157480314965" header="0.31496062992125984" footer="0.31496062992125984"/>
  <pageSetup paperSize="9" scale="86" firstPageNumber="10" fitToHeight="0" orientation="landscape" useFirstPageNumber="1" r:id="rId1"/>
  <headerFooter>
    <oddFooter>&amp;LZastupitelstvo Olomouckého kraje 25. 6. 2018                                                                   
6.2. - Rozpočet Olomouckého kraje 2018 - čerpání revolvingového úvěru KB
Příloha č. 4 - přehled revolvingového úvěru&amp;RStrana &amp;P (celkem 11)</oddFooter>
  </headerFooter>
  <rowBreaks count="1" manualBreakCount="1">
    <brk id="21" min="1" max="19" man="1"/>
  </rowBreaks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</sheetPr>
  <dimension ref="A1:M27"/>
  <sheetViews>
    <sheetView zoomScale="90" zoomScaleNormal="90" workbookViewId="0">
      <selection sqref="A1:G1"/>
    </sheetView>
  </sheetViews>
  <sheetFormatPr defaultRowHeight="15" x14ac:dyDescent="0.2"/>
  <cols>
    <col min="1" max="1" width="11.42578125" style="6" customWidth="1"/>
    <col min="2" max="2" width="6.7109375" style="6" customWidth="1"/>
    <col min="3" max="3" width="9.28515625" style="6" customWidth="1"/>
    <col min="4" max="4" width="9.7109375" style="6" customWidth="1"/>
    <col min="5" max="5" width="37.85546875" style="39" customWidth="1"/>
    <col min="6" max="6" width="16.85546875" style="6" customWidth="1"/>
    <col min="7" max="7" width="15" style="6" customWidth="1"/>
    <col min="8" max="8" width="19.5703125" style="6" customWidth="1"/>
    <col min="9" max="10" width="15.7109375" style="6" customWidth="1"/>
    <col min="11" max="11" width="16.42578125" style="6" customWidth="1"/>
    <col min="12" max="12" width="12.7109375" style="6" bestFit="1" customWidth="1"/>
    <col min="13" max="13" width="14.140625" style="6" customWidth="1"/>
    <col min="14" max="16384" width="9.140625" style="6"/>
  </cols>
  <sheetData>
    <row r="1" spans="1:13" s="4" customFormat="1" ht="15.75" x14ac:dyDescent="0.25">
      <c r="A1" s="119" t="s">
        <v>25</v>
      </c>
      <c r="B1" s="119"/>
      <c r="C1" s="119"/>
      <c r="D1" s="119"/>
      <c r="E1" s="119"/>
      <c r="F1" s="119"/>
      <c r="G1" s="119"/>
      <c r="H1" s="2"/>
      <c r="I1" s="2"/>
      <c r="J1" s="2"/>
      <c r="K1" s="3"/>
    </row>
    <row r="2" spans="1:13" s="4" customFormat="1" ht="15.75" customHeight="1" x14ac:dyDescent="0.25">
      <c r="A2" s="2"/>
      <c r="B2" s="2"/>
      <c r="C2" s="2"/>
      <c r="D2" s="2"/>
      <c r="E2" s="2"/>
      <c r="F2" s="2"/>
      <c r="G2" s="2"/>
      <c r="H2" s="2"/>
      <c r="I2" s="2"/>
      <c r="J2" s="2"/>
      <c r="K2" s="3"/>
    </row>
    <row r="3" spans="1:13" ht="16.5" thickBot="1" x14ac:dyDescent="0.3">
      <c r="A3" s="2"/>
      <c r="B3" s="2"/>
      <c r="C3" s="2"/>
      <c r="D3" s="2"/>
      <c r="E3" s="2"/>
      <c r="F3" s="2"/>
      <c r="G3" s="2"/>
      <c r="H3" s="2"/>
      <c r="I3" s="2"/>
      <c r="J3" s="2"/>
      <c r="K3" s="5"/>
      <c r="M3" s="3" t="s">
        <v>11</v>
      </c>
    </row>
    <row r="4" spans="1:13" ht="32.25" customHeight="1" x14ac:dyDescent="0.2">
      <c r="A4" s="102" t="s">
        <v>0</v>
      </c>
      <c r="B4" s="104" t="s">
        <v>5</v>
      </c>
      <c r="C4" s="104" t="s">
        <v>6</v>
      </c>
      <c r="D4" s="106" t="s">
        <v>10</v>
      </c>
      <c r="E4" s="106" t="s">
        <v>1</v>
      </c>
      <c r="F4" s="114" t="s">
        <v>4</v>
      </c>
      <c r="G4" s="106" t="s">
        <v>7</v>
      </c>
      <c r="H4" s="110" t="s">
        <v>3</v>
      </c>
      <c r="I4" s="106" t="s">
        <v>9</v>
      </c>
      <c r="J4" s="106" t="s">
        <v>12</v>
      </c>
      <c r="K4" s="106" t="s">
        <v>8</v>
      </c>
      <c r="L4" s="112" t="s">
        <v>13</v>
      </c>
      <c r="M4" s="108" t="s">
        <v>14</v>
      </c>
    </row>
    <row r="5" spans="1:13" ht="39" customHeight="1" thickBot="1" x14ac:dyDescent="0.25">
      <c r="A5" s="103"/>
      <c r="B5" s="105"/>
      <c r="C5" s="105"/>
      <c r="D5" s="107"/>
      <c r="E5" s="107"/>
      <c r="F5" s="115"/>
      <c r="G5" s="107"/>
      <c r="H5" s="111"/>
      <c r="I5" s="107"/>
      <c r="J5" s="107"/>
      <c r="K5" s="107"/>
      <c r="L5" s="113"/>
      <c r="M5" s="109"/>
    </row>
    <row r="6" spans="1:13" ht="30" x14ac:dyDescent="0.2">
      <c r="A6" s="7">
        <v>100916</v>
      </c>
      <c r="B6" s="8">
        <v>50</v>
      </c>
      <c r="C6" s="8">
        <v>2212</v>
      </c>
      <c r="D6" s="8">
        <v>61</v>
      </c>
      <c r="E6" s="9" t="s">
        <v>15</v>
      </c>
      <c r="F6" s="10">
        <v>60163</v>
      </c>
      <c r="G6" s="10">
        <v>55924</v>
      </c>
      <c r="H6" s="11">
        <v>27962</v>
      </c>
      <c r="I6" s="11">
        <v>4239</v>
      </c>
      <c r="J6" s="12">
        <f>(I6/F6)</f>
        <v>7.0458587503947609E-2</v>
      </c>
      <c r="K6" s="13">
        <f>H6+I6</f>
        <v>32201</v>
      </c>
      <c r="L6" s="14">
        <v>2299</v>
      </c>
      <c r="M6" s="15">
        <f>I6-L6</f>
        <v>1940</v>
      </c>
    </row>
    <row r="7" spans="1:13" ht="35.25" customHeight="1" x14ac:dyDescent="0.2">
      <c r="A7" s="16">
        <v>100932</v>
      </c>
      <c r="B7" s="17">
        <v>50</v>
      </c>
      <c r="C7" s="18">
        <v>3122</v>
      </c>
      <c r="D7" s="18">
        <v>61</v>
      </c>
      <c r="E7" s="19" t="s">
        <v>16</v>
      </c>
      <c r="F7" s="20">
        <v>6191</v>
      </c>
      <c r="G7" s="20">
        <v>5341</v>
      </c>
      <c r="H7" s="21">
        <v>1602</v>
      </c>
      <c r="I7" s="21">
        <f>281+569</f>
        <v>850</v>
      </c>
      <c r="J7" s="12">
        <f>(I7/F7)</f>
        <v>0.13729607494750445</v>
      </c>
      <c r="K7" s="22">
        <f>H7+I7</f>
        <v>2452</v>
      </c>
      <c r="L7" s="23">
        <f>69+781</f>
        <v>850</v>
      </c>
      <c r="M7" s="24">
        <f>I7-L7</f>
        <v>0</v>
      </c>
    </row>
    <row r="8" spans="1:13" ht="30" x14ac:dyDescent="0.2">
      <c r="A8" s="16">
        <v>100934</v>
      </c>
      <c r="B8" s="17">
        <v>50</v>
      </c>
      <c r="C8" s="18">
        <v>3122</v>
      </c>
      <c r="D8" s="18">
        <v>61</v>
      </c>
      <c r="E8" s="19" t="s">
        <v>17</v>
      </c>
      <c r="F8" s="20">
        <v>22588</v>
      </c>
      <c r="G8" s="20">
        <v>19620</v>
      </c>
      <c r="H8" s="21">
        <v>5886</v>
      </c>
      <c r="I8" s="21">
        <f>1033+1935</f>
        <v>2968</v>
      </c>
      <c r="J8" s="12">
        <f>(I8/F8)</f>
        <v>0.13139720205418806</v>
      </c>
      <c r="K8" s="22">
        <f>H8+I8</f>
        <v>8854</v>
      </c>
      <c r="L8" s="23">
        <f>156+2812</f>
        <v>2968</v>
      </c>
      <c r="M8" s="24">
        <f>I8-L8</f>
        <v>0</v>
      </c>
    </row>
    <row r="9" spans="1:13" ht="30" x14ac:dyDescent="0.2">
      <c r="A9" s="16">
        <v>100965</v>
      </c>
      <c r="B9" s="17">
        <v>50</v>
      </c>
      <c r="C9" s="18">
        <v>3122</v>
      </c>
      <c r="D9" s="18">
        <v>61</v>
      </c>
      <c r="E9" s="19" t="s">
        <v>18</v>
      </c>
      <c r="F9" s="20">
        <v>12328</v>
      </c>
      <c r="G9" s="20">
        <v>11105</v>
      </c>
      <c r="H9" s="25">
        <v>3332</v>
      </c>
      <c r="I9" s="21">
        <f>584+638</f>
        <v>1222</v>
      </c>
      <c r="J9" s="12">
        <f>(I9/F9)</f>
        <v>9.9123945489941592E-2</v>
      </c>
      <c r="K9" s="22">
        <f>H9+I9</f>
        <v>4554</v>
      </c>
      <c r="L9" s="23">
        <f>61+1161</f>
        <v>1222</v>
      </c>
      <c r="M9" s="24">
        <f>I9-L9</f>
        <v>0</v>
      </c>
    </row>
    <row r="10" spans="1:13" ht="48.75" customHeight="1" thickBot="1" x14ac:dyDescent="0.25">
      <c r="A10" s="26">
        <v>100883</v>
      </c>
      <c r="B10" s="27">
        <v>52</v>
      </c>
      <c r="C10" s="27">
        <v>3121</v>
      </c>
      <c r="D10" s="27">
        <v>61</v>
      </c>
      <c r="E10" s="28" t="s">
        <v>19</v>
      </c>
      <c r="F10" s="29">
        <v>40427</v>
      </c>
      <c r="G10" s="29">
        <v>16830</v>
      </c>
      <c r="H10" s="30">
        <v>0</v>
      </c>
      <c r="I10" s="30">
        <v>23597</v>
      </c>
      <c r="J10" s="31">
        <f>(I10/F10)</f>
        <v>0.58369406584708239</v>
      </c>
      <c r="K10" s="32">
        <f>H10+I10</f>
        <v>23597</v>
      </c>
      <c r="L10" s="33">
        <v>2000</v>
      </c>
      <c r="M10" s="34">
        <f>I10-L10</f>
        <v>21597</v>
      </c>
    </row>
    <row r="11" spans="1:13" s="38" customFormat="1" ht="18.75" thickBot="1" x14ac:dyDescent="0.3">
      <c r="A11" s="116" t="s">
        <v>2</v>
      </c>
      <c r="B11" s="117"/>
      <c r="C11" s="117"/>
      <c r="D11" s="117"/>
      <c r="E11" s="117"/>
      <c r="F11" s="35">
        <f>SUM(F6:F10)</f>
        <v>141697</v>
      </c>
      <c r="G11" s="35">
        <f>SUM(G6:G10)</f>
        <v>108820</v>
      </c>
      <c r="H11" s="52">
        <f>SUM(H6:H10)</f>
        <v>38782</v>
      </c>
      <c r="I11" s="35">
        <f>SUM(I6:I10)</f>
        <v>32876</v>
      </c>
      <c r="J11" s="36"/>
      <c r="K11" s="35">
        <f>SUM(K6:K10)</f>
        <v>71658</v>
      </c>
      <c r="L11" s="36">
        <f>SUM(L6:L10)</f>
        <v>9339</v>
      </c>
      <c r="M11" s="37">
        <f>SUM(M6:M10)</f>
        <v>23537</v>
      </c>
    </row>
    <row r="12" spans="1:13" ht="15.75" thickBot="1" x14ac:dyDescent="0.25"/>
    <row r="13" spans="1:13" ht="15.75" customHeight="1" x14ac:dyDescent="0.2">
      <c r="A13" s="102" t="s">
        <v>0</v>
      </c>
      <c r="B13" s="104" t="s">
        <v>5</v>
      </c>
      <c r="C13" s="104" t="s">
        <v>6</v>
      </c>
      <c r="D13" s="106" t="s">
        <v>10</v>
      </c>
      <c r="E13" s="106" t="s">
        <v>1</v>
      </c>
      <c r="F13" s="114" t="s">
        <v>4</v>
      </c>
      <c r="G13" s="106" t="s">
        <v>7</v>
      </c>
      <c r="H13" s="110" t="s">
        <v>3</v>
      </c>
      <c r="I13" s="106" t="s">
        <v>9</v>
      </c>
      <c r="J13" s="106" t="s">
        <v>12</v>
      </c>
      <c r="K13" s="106" t="s">
        <v>8</v>
      </c>
      <c r="L13" s="112" t="s">
        <v>13</v>
      </c>
      <c r="M13" s="108" t="s">
        <v>14</v>
      </c>
    </row>
    <row r="14" spans="1:13" ht="39" customHeight="1" thickBot="1" x14ac:dyDescent="0.25">
      <c r="A14" s="103"/>
      <c r="B14" s="105"/>
      <c r="C14" s="105"/>
      <c r="D14" s="107"/>
      <c r="E14" s="107"/>
      <c r="F14" s="115"/>
      <c r="G14" s="107"/>
      <c r="H14" s="111"/>
      <c r="I14" s="107"/>
      <c r="J14" s="107"/>
      <c r="K14" s="107"/>
      <c r="L14" s="113"/>
      <c r="M14" s="109"/>
    </row>
    <row r="15" spans="1:13" ht="30" x14ac:dyDescent="0.2">
      <c r="A15" s="40" t="s">
        <v>20</v>
      </c>
      <c r="B15" s="17">
        <v>50</v>
      </c>
      <c r="C15" s="17">
        <v>2212</v>
      </c>
      <c r="D15" s="17">
        <v>61</v>
      </c>
      <c r="E15" s="41" t="s">
        <v>21</v>
      </c>
      <c r="F15" s="20">
        <v>33567</v>
      </c>
      <c r="G15" s="20">
        <v>31889</v>
      </c>
      <c r="H15" s="21">
        <v>11567</v>
      </c>
      <c r="I15" s="21">
        <v>1678</v>
      </c>
      <c r="J15" s="12">
        <f>(I15/F15)</f>
        <v>4.9989573092620726E-2</v>
      </c>
      <c r="K15" s="22">
        <f>H15+I15</f>
        <v>13245</v>
      </c>
      <c r="L15" s="42">
        <v>0</v>
      </c>
      <c r="M15" s="24">
        <f>I15-L15</f>
        <v>1678</v>
      </c>
    </row>
    <row r="16" spans="1:13" ht="45" x14ac:dyDescent="0.2">
      <c r="A16" s="40" t="s">
        <v>20</v>
      </c>
      <c r="B16" s="17">
        <v>50</v>
      </c>
      <c r="C16" s="17">
        <v>2212</v>
      </c>
      <c r="D16" s="17">
        <v>61</v>
      </c>
      <c r="E16" s="41" t="s">
        <v>22</v>
      </c>
      <c r="F16" s="20">
        <v>60281</v>
      </c>
      <c r="G16" s="20">
        <v>57267</v>
      </c>
      <c r="H16" s="21">
        <v>17281</v>
      </c>
      <c r="I16" s="21">
        <v>3014</v>
      </c>
      <c r="J16" s="12">
        <f>(I16/F16)</f>
        <v>4.9999170551251637E-2</v>
      </c>
      <c r="K16" s="22">
        <f>H16+I16</f>
        <v>20295</v>
      </c>
      <c r="L16" s="23">
        <v>0</v>
      </c>
      <c r="M16" s="24">
        <f>I16-L16</f>
        <v>3014</v>
      </c>
    </row>
    <row r="17" spans="1:13" ht="30" x14ac:dyDescent="0.2">
      <c r="A17" s="40" t="s">
        <v>20</v>
      </c>
      <c r="B17" s="17">
        <v>50</v>
      </c>
      <c r="C17" s="18">
        <v>3122</v>
      </c>
      <c r="D17" s="18">
        <v>61</v>
      </c>
      <c r="E17" s="19" t="s">
        <v>23</v>
      </c>
      <c r="F17" s="20">
        <v>9705</v>
      </c>
      <c r="G17" s="20">
        <v>9220</v>
      </c>
      <c r="H17" s="21">
        <v>2205</v>
      </c>
      <c r="I17" s="21">
        <v>485</v>
      </c>
      <c r="J17" s="12">
        <f>(I17/F17)</f>
        <v>4.9974240082431738E-2</v>
      </c>
      <c r="K17" s="22">
        <f>H17+I17</f>
        <v>2690</v>
      </c>
      <c r="L17" s="23">
        <v>0</v>
      </c>
      <c r="M17" s="24">
        <f>I17-L17</f>
        <v>485</v>
      </c>
    </row>
    <row r="18" spans="1:13" ht="16.5" thickBot="1" x14ac:dyDescent="0.25">
      <c r="A18" s="43" t="s">
        <v>20</v>
      </c>
      <c r="B18" s="44">
        <v>50</v>
      </c>
      <c r="C18" s="45">
        <v>3113</v>
      </c>
      <c r="D18" s="45">
        <v>61</v>
      </c>
      <c r="E18" s="46" t="s">
        <v>24</v>
      </c>
      <c r="F18" s="47">
        <v>21812</v>
      </c>
      <c r="G18" s="47">
        <v>20703</v>
      </c>
      <c r="H18" s="48">
        <v>7562</v>
      </c>
      <c r="I18" s="48">
        <v>1109</v>
      </c>
      <c r="J18" s="31">
        <f>(I18/F18)</f>
        <v>5.0843572345497891E-2</v>
      </c>
      <c r="K18" s="49">
        <f>H18+I18</f>
        <v>8671</v>
      </c>
      <c r="L18" s="33">
        <v>0</v>
      </c>
      <c r="M18" s="34">
        <f>I18-L18</f>
        <v>1109</v>
      </c>
    </row>
    <row r="19" spans="1:13" ht="18.75" thickBot="1" x14ac:dyDescent="0.25">
      <c r="A19" s="116" t="s">
        <v>26</v>
      </c>
      <c r="B19" s="117"/>
      <c r="C19" s="117"/>
      <c r="D19" s="117"/>
      <c r="E19" s="117"/>
      <c r="F19" s="36">
        <f>SUM(F15:F18)</f>
        <v>125365</v>
      </c>
      <c r="G19" s="36">
        <f t="shared" ref="G19:I19" si="0">SUM(G15:G18)</f>
        <v>119079</v>
      </c>
      <c r="H19" s="53">
        <f>SUM(H15:H18)</f>
        <v>38615</v>
      </c>
      <c r="I19" s="36">
        <f t="shared" si="0"/>
        <v>6286</v>
      </c>
      <c r="J19" s="36"/>
      <c r="K19" s="36">
        <f t="shared" ref="K19:M19" si="1">SUM(K15:K18)</f>
        <v>44901</v>
      </c>
      <c r="L19" s="36">
        <f t="shared" si="1"/>
        <v>0</v>
      </c>
      <c r="M19" s="37">
        <f t="shared" si="1"/>
        <v>6286</v>
      </c>
    </row>
    <row r="20" spans="1:13" ht="15.75" thickBot="1" x14ac:dyDescent="0.25"/>
    <row r="21" spans="1:13" ht="18.75" thickBot="1" x14ac:dyDescent="0.25">
      <c r="A21" s="116" t="s">
        <v>2</v>
      </c>
      <c r="B21" s="117"/>
      <c r="C21" s="117"/>
      <c r="D21" s="117"/>
      <c r="E21" s="117"/>
      <c r="F21" s="36">
        <f>F11+F19</f>
        <v>267062</v>
      </c>
      <c r="G21" s="36">
        <f t="shared" ref="G21:M21" si="2">G11+G19</f>
        <v>227899</v>
      </c>
      <c r="H21" s="53">
        <f t="shared" si="2"/>
        <v>77397</v>
      </c>
      <c r="I21" s="36">
        <f t="shared" si="2"/>
        <v>39162</v>
      </c>
      <c r="J21" s="36"/>
      <c r="K21" s="36">
        <f t="shared" si="2"/>
        <v>116559</v>
      </c>
      <c r="L21" s="36">
        <f t="shared" si="2"/>
        <v>9339</v>
      </c>
      <c r="M21" s="37">
        <f t="shared" si="2"/>
        <v>29823</v>
      </c>
    </row>
    <row r="22" spans="1:13" ht="18" x14ac:dyDescent="0.25">
      <c r="K22" s="118"/>
      <c r="L22" s="118"/>
      <c r="M22" s="50"/>
    </row>
    <row r="25" spans="1:13" ht="15.75" x14ac:dyDescent="0.25">
      <c r="G25" s="51"/>
    </row>
    <row r="27" spans="1:13" ht="15.75" x14ac:dyDescent="0.25">
      <c r="G27" s="51"/>
    </row>
  </sheetData>
  <mergeCells count="31">
    <mergeCell ref="A19:E19"/>
    <mergeCell ref="A21:E21"/>
    <mergeCell ref="K22:L22"/>
    <mergeCell ref="A1:G1"/>
    <mergeCell ref="H13:H14"/>
    <mergeCell ref="I13:I14"/>
    <mergeCell ref="J13:J14"/>
    <mergeCell ref="K13:K14"/>
    <mergeCell ref="L13:L14"/>
    <mergeCell ref="F13:F14"/>
    <mergeCell ref="G13:G14"/>
    <mergeCell ref="A11:E11"/>
    <mergeCell ref="A13:A14"/>
    <mergeCell ref="B13:B14"/>
    <mergeCell ref="C13:C14"/>
    <mergeCell ref="D13:D14"/>
    <mergeCell ref="E13:E14"/>
    <mergeCell ref="M4:M5"/>
    <mergeCell ref="G4:G5"/>
    <mergeCell ref="H4:H5"/>
    <mergeCell ref="I4:I5"/>
    <mergeCell ref="J4:J5"/>
    <mergeCell ref="K4:K5"/>
    <mergeCell ref="L4:L5"/>
    <mergeCell ref="F4:F5"/>
    <mergeCell ref="M13:M14"/>
    <mergeCell ref="A4:A5"/>
    <mergeCell ref="B4:B5"/>
    <mergeCell ref="C4:C5"/>
    <mergeCell ref="D4:D5"/>
    <mergeCell ref="E4:E5"/>
  </mergeCells>
  <pageMargins left="0.70866141732283472" right="0.70866141732283472" top="0.78740157480314965" bottom="0.78740157480314965" header="0.31496062992125984" footer="0.31496062992125984"/>
  <pageSetup paperSize="9" scale="55" orientation="landscape" r:id="rId1"/>
  <headerFooter>
    <oddFooter>&amp;L&amp;"Arial,Kurzíva"Zastupitelstvo Olomouckého kraje 20-02-2015
6.1. Rozpočet Olomouckého kraje 2015 - investice
Příloha č. 1: Návrh nových investičních akcí 2015&amp;RStrana &amp;P (celkem 22)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2</vt:i4>
      </vt:variant>
      <vt:variant>
        <vt:lpstr>Pojmenované oblasti</vt:lpstr>
      </vt:variant>
      <vt:variant>
        <vt:i4>2</vt:i4>
      </vt:variant>
    </vt:vector>
  </HeadingPairs>
  <TitlesOfParts>
    <vt:vector size="4" baseType="lpstr">
      <vt:lpstr>Přehled úvěru</vt:lpstr>
      <vt:lpstr>Dotace - aktualizace</vt:lpstr>
      <vt:lpstr>'Přehled úvěru'!Názvy_tisku</vt:lpstr>
      <vt:lpstr>'Přehled úvěru'!Oblast_tisku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Foret Oldřich</dc:creator>
  <cp:lastModifiedBy>Foret Oldřich</cp:lastModifiedBy>
  <cp:lastPrinted>2018-05-30T12:27:19Z</cp:lastPrinted>
  <dcterms:created xsi:type="dcterms:W3CDTF">2013-11-04T07:24:03Z</dcterms:created>
  <dcterms:modified xsi:type="dcterms:W3CDTF">2018-05-30T12:30:48Z</dcterms:modified>
</cp:coreProperties>
</file>