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ZOK 22.6.2020\"/>
    </mc:Choice>
  </mc:AlternateContent>
  <bookViews>
    <workbookView xWindow="480" yWindow="1200" windowWidth="15180" windowHeight="9795"/>
  </bookViews>
  <sheets>
    <sheet name="Rekapitulace" sheetId="7" r:id="rId1"/>
    <sheet name="rekapitulace PO" sheetId="15" state="hidden" r:id="rId2"/>
    <sheet name="8a) OK 2019" sheetId="8" state="hidden" r:id="rId3"/>
    <sheet name="8b) Projekty spolufinancované" sheetId="14" state="hidden" r:id="rId4"/>
    <sheet name="8c) SMN" sheetId="13" state="hidden" r:id="rId5"/>
  </sheets>
  <definedNames>
    <definedName name="_xlnm.Print_Area" localSheetId="2">'8a) OK 2019'!$A$1:$E$433</definedName>
    <definedName name="_xlnm.Print_Area" localSheetId="3">'8b) Projekty spolufinancované'!$A$1:$E$250</definedName>
    <definedName name="_xlnm.Print_Area" localSheetId="4">'8c) SMN'!$A$1:$E$23</definedName>
    <definedName name="_xlnm.Print_Area" localSheetId="0">Rekapitulace!$A$1:$D$50</definedName>
    <definedName name="_xlnm.Print_Area" localSheetId="1">'rekapitulace PO'!$A$1:$D$36</definedName>
  </definedNames>
  <calcPr calcId="162913"/>
</workbook>
</file>

<file path=xl/calcChain.xml><?xml version="1.0" encoding="utf-8"?>
<calcChain xmlns="http://schemas.openxmlformats.org/spreadsheetml/2006/main">
  <c r="L107" i="14" l="1"/>
  <c r="K107" i="14"/>
  <c r="J107" i="14"/>
  <c r="C105" i="14"/>
  <c r="D105" i="14"/>
  <c r="B105" i="14"/>
  <c r="E106" i="14"/>
  <c r="E107" i="14"/>
  <c r="B26" i="13" l="1"/>
  <c r="C419" i="8" l="1"/>
  <c r="D419" i="8"/>
  <c r="D7" i="13" l="1"/>
  <c r="C7" i="13"/>
  <c r="B7" i="13"/>
  <c r="D229" i="14"/>
  <c r="C229" i="14"/>
  <c r="B229" i="14"/>
  <c r="D217" i="14"/>
  <c r="C217" i="14"/>
  <c r="B217" i="14"/>
  <c r="D211" i="14"/>
  <c r="C211" i="14"/>
  <c r="B211" i="14"/>
  <c r="D206" i="14"/>
  <c r="C206" i="14"/>
  <c r="B206" i="14"/>
  <c r="E193" i="14"/>
  <c r="D192" i="14"/>
  <c r="C192" i="14"/>
  <c r="B192" i="14"/>
  <c r="D180" i="14"/>
  <c r="C180" i="14"/>
  <c r="B180" i="14"/>
  <c r="D171" i="14"/>
  <c r="C171" i="14"/>
  <c r="D186" i="14"/>
  <c r="C186" i="14"/>
  <c r="B186" i="14"/>
  <c r="D164" i="14"/>
  <c r="C164" i="14"/>
  <c r="B164" i="14"/>
  <c r="D159" i="14"/>
  <c r="C159" i="14"/>
  <c r="B159" i="14"/>
  <c r="D136" i="14"/>
  <c r="C136" i="14"/>
  <c r="B136" i="14"/>
  <c r="D130" i="14"/>
  <c r="C130" i="14"/>
  <c r="B130" i="14"/>
  <c r="D116" i="14"/>
  <c r="C116" i="14"/>
  <c r="B116" i="14"/>
  <c r="D110" i="14"/>
  <c r="C110" i="14"/>
  <c r="B110" i="14"/>
  <c r="C85" i="14"/>
  <c r="D85" i="14"/>
  <c r="C68" i="14"/>
  <c r="D68" i="14"/>
  <c r="C7" i="14"/>
  <c r="D7" i="14"/>
  <c r="D413" i="8"/>
  <c r="C413" i="8"/>
  <c r="B413" i="8"/>
  <c r="D411" i="8"/>
  <c r="C411" i="8"/>
  <c r="B411" i="8"/>
  <c r="C405" i="8"/>
  <c r="D405" i="8"/>
  <c r="B405" i="8"/>
  <c r="C392" i="8"/>
  <c r="D392" i="8"/>
  <c r="C373" i="8"/>
  <c r="D373" i="8"/>
  <c r="C366" i="8"/>
  <c r="D366" i="8"/>
  <c r="C355" i="8"/>
  <c r="D355" i="8"/>
  <c r="C324" i="8"/>
  <c r="D324" i="8"/>
  <c r="C318" i="8"/>
  <c r="D318" i="8"/>
  <c r="B318" i="8"/>
  <c r="C300" i="8"/>
  <c r="D300" i="8"/>
  <c r="C284" i="8"/>
  <c r="D284" i="8"/>
  <c r="C234" i="8"/>
  <c r="D234" i="8"/>
  <c r="C188" i="8"/>
  <c r="D188" i="8"/>
  <c r="C182" i="8"/>
  <c r="D182" i="8"/>
  <c r="B182" i="8"/>
  <c r="C99" i="8"/>
  <c r="D99" i="8"/>
  <c r="C7" i="8"/>
  <c r="D7" i="8"/>
  <c r="B7" i="8" l="1"/>
  <c r="E217" i="8"/>
  <c r="L246" i="14" l="1"/>
  <c r="K74" i="14"/>
  <c r="J74" i="14"/>
  <c r="L74" i="14"/>
  <c r="K184" i="14"/>
  <c r="L184" i="14"/>
  <c r="J184" i="14"/>
  <c r="E173" i="14"/>
  <c r="K201" i="14"/>
  <c r="L201" i="14"/>
  <c r="J201" i="14"/>
  <c r="K200" i="14"/>
  <c r="L200" i="14"/>
  <c r="J200" i="14"/>
  <c r="J199" i="14"/>
  <c r="E196" i="14"/>
  <c r="E195" i="14"/>
  <c r="C9" i="15" l="1"/>
  <c r="D9" i="15"/>
  <c r="B9" i="15"/>
  <c r="C12" i="15" l="1"/>
  <c r="D12" i="15"/>
  <c r="B12" i="15"/>
  <c r="K431" i="8"/>
  <c r="J364" i="8"/>
  <c r="K363" i="8"/>
  <c r="L363" i="8"/>
  <c r="J363" i="8"/>
  <c r="K365" i="8"/>
  <c r="C35" i="15" s="1"/>
  <c r="L365" i="8"/>
  <c r="D35" i="15" s="1"/>
  <c r="J365" i="8"/>
  <c r="B35" i="15" s="1"/>
  <c r="J431" i="8" l="1"/>
  <c r="L431" i="8"/>
  <c r="K161" i="14"/>
  <c r="L161" i="14"/>
  <c r="J161" i="14"/>
  <c r="J162" i="14"/>
  <c r="K162" i="14"/>
  <c r="L162" i="14"/>
  <c r="E358" i="8"/>
  <c r="B355" i="8"/>
  <c r="D357" i="8"/>
  <c r="C357" i="8"/>
  <c r="D356" i="8"/>
  <c r="C356" i="8"/>
  <c r="B14" i="15" l="1"/>
  <c r="B366" i="8"/>
  <c r="J268" i="8"/>
  <c r="E160" i="14" l="1"/>
  <c r="J18" i="13" l="1"/>
  <c r="K18" i="13"/>
  <c r="I18" i="13"/>
  <c r="K78" i="14" l="1"/>
  <c r="D181" i="14"/>
  <c r="C181" i="14"/>
  <c r="B181" i="14"/>
  <c r="E108" i="14"/>
  <c r="L248" i="14"/>
  <c r="K248" i="14"/>
  <c r="J248" i="14"/>
  <c r="D128" i="14"/>
  <c r="C128" i="14"/>
  <c r="C127" i="14" s="1"/>
  <c r="K129" i="14" s="1"/>
  <c r="B128" i="14"/>
  <c r="B127" i="14" s="1"/>
  <c r="J129" i="14" s="1"/>
  <c r="D72" i="14"/>
  <c r="L78" i="14" s="1"/>
  <c r="C72" i="14"/>
  <c r="B72" i="14"/>
  <c r="J78" i="14" s="1"/>
  <c r="E128" i="14" l="1"/>
  <c r="D127" i="14"/>
  <c r="L129" i="14" s="1"/>
  <c r="E105" i="14"/>
  <c r="K234" i="14"/>
  <c r="L234" i="14"/>
  <c r="J234" i="14"/>
  <c r="K233" i="14"/>
  <c r="L233" i="14"/>
  <c r="J233" i="14"/>
  <c r="K210" i="14"/>
  <c r="L210" i="14"/>
  <c r="J210" i="14"/>
  <c r="K209" i="14"/>
  <c r="L209" i="14"/>
  <c r="J209" i="14"/>
  <c r="K183" i="14"/>
  <c r="L183" i="14"/>
  <c r="J183" i="14"/>
  <c r="B171" i="14"/>
  <c r="K77" i="14"/>
  <c r="L77" i="14"/>
  <c r="J77" i="14"/>
  <c r="K76" i="14"/>
  <c r="L76" i="14"/>
  <c r="J76" i="14"/>
  <c r="K199" i="14"/>
  <c r="L199" i="14"/>
  <c r="E197" i="14"/>
  <c r="E230" i="14"/>
  <c r="E231" i="14"/>
  <c r="E176" i="14"/>
  <c r="E174" i="14"/>
  <c r="E63" i="14"/>
  <c r="K128" i="14"/>
  <c r="L128" i="14"/>
  <c r="J128" i="14"/>
  <c r="K127" i="14"/>
  <c r="L127" i="14"/>
  <c r="J127" i="14"/>
  <c r="K106" i="14"/>
  <c r="L106" i="14"/>
  <c r="J106" i="14"/>
  <c r="K105" i="14"/>
  <c r="L105" i="14"/>
  <c r="J105" i="14"/>
  <c r="J79" i="14"/>
  <c r="K75" i="14"/>
  <c r="L75" i="14"/>
  <c r="J75" i="14"/>
  <c r="E56" i="14"/>
  <c r="E98" i="14"/>
  <c r="E96" i="14"/>
  <c r="E94" i="14"/>
  <c r="E90" i="14"/>
  <c r="E44" i="14"/>
  <c r="E42" i="14"/>
  <c r="E34" i="14"/>
  <c r="E29" i="14"/>
  <c r="E27" i="14"/>
  <c r="E18" i="14"/>
  <c r="J256" i="14" l="1"/>
  <c r="J247" i="14"/>
  <c r="K247" i="14"/>
  <c r="K256" i="14"/>
  <c r="L256" i="14"/>
  <c r="L247" i="14"/>
  <c r="K79" i="14"/>
  <c r="E127" i="14"/>
  <c r="L108" i="14"/>
  <c r="J108" i="14"/>
  <c r="K130" i="14"/>
  <c r="K108" i="14"/>
  <c r="L130" i="14"/>
  <c r="J130" i="14"/>
  <c r="K246" i="14"/>
  <c r="J246" i="14"/>
  <c r="K235" i="14"/>
  <c r="J235" i="14"/>
  <c r="L235" i="14"/>
  <c r="E15" i="14"/>
  <c r="B85" i="14"/>
  <c r="E89" i="14"/>
  <c r="E55" i="14"/>
  <c r="E54" i="14"/>
  <c r="E53" i="14"/>
  <c r="E52" i="14"/>
  <c r="E51" i="14"/>
  <c r="E50" i="14"/>
  <c r="E49" i="14"/>
  <c r="E41" i="14"/>
  <c r="E43" i="14"/>
  <c r="E37" i="14"/>
  <c r="E26" i="14"/>
  <c r="K160" i="14"/>
  <c r="L160" i="14"/>
  <c r="J160" i="14"/>
  <c r="E151" i="14"/>
  <c r="K157" i="14"/>
  <c r="L157" i="14"/>
  <c r="J157" i="14"/>
  <c r="L158" i="14"/>
  <c r="L254" i="14" s="1"/>
  <c r="J158" i="14"/>
  <c r="J254" i="14" s="1"/>
  <c r="L159" i="14"/>
  <c r="J159" i="14"/>
  <c r="E155" i="14"/>
  <c r="C145" i="14"/>
  <c r="K159" i="14" s="1"/>
  <c r="L245" i="14" l="1"/>
  <c r="J245" i="14"/>
  <c r="C146" i="14"/>
  <c r="E145" i="14"/>
  <c r="E142" i="14"/>
  <c r="E146" i="14" l="1"/>
  <c r="K158" i="14"/>
  <c r="E415" i="8"/>
  <c r="K254" i="14" l="1"/>
  <c r="K245" i="14"/>
  <c r="K402" i="8"/>
  <c r="J402" i="8"/>
  <c r="K316" i="8"/>
  <c r="L316" i="8"/>
  <c r="J316" i="8"/>
  <c r="K315" i="8"/>
  <c r="L315" i="8"/>
  <c r="J315" i="8"/>
  <c r="B300" i="8"/>
  <c r="B284" i="8"/>
  <c r="K268" i="8"/>
  <c r="L268" i="8"/>
  <c r="D363" i="8"/>
  <c r="B234" i="8" l="1"/>
  <c r="B99" i="8"/>
  <c r="E396" i="8"/>
  <c r="E307" i="8"/>
  <c r="E266" i="8"/>
  <c r="E259" i="8"/>
  <c r="E173" i="8"/>
  <c r="E172" i="8"/>
  <c r="E171" i="8"/>
  <c r="E170" i="8"/>
  <c r="E169" i="8"/>
  <c r="E166" i="8"/>
  <c r="E165" i="8"/>
  <c r="E161" i="8"/>
  <c r="E160" i="8"/>
  <c r="E150" i="8"/>
  <c r="E143" i="8"/>
  <c r="E141" i="8"/>
  <c r="E302" i="8"/>
  <c r="E303" i="8"/>
  <c r="E304" i="8"/>
  <c r="E305" i="8"/>
  <c r="E306" i="8"/>
  <c r="E308" i="8"/>
  <c r="E309" i="8"/>
  <c r="E301" i="8"/>
  <c r="E251" i="8"/>
  <c r="E250" i="8"/>
  <c r="E248" i="8"/>
  <c r="E249" i="8"/>
  <c r="E252" i="8"/>
  <c r="E245" i="8"/>
  <c r="E236" i="8"/>
  <c r="E237" i="8"/>
  <c r="E137" i="8"/>
  <c r="E136" i="8"/>
  <c r="E134" i="8"/>
  <c r="E132" i="8"/>
  <c r="E131" i="8"/>
  <c r="E130" i="8"/>
  <c r="E125" i="8"/>
  <c r="E124" i="8"/>
  <c r="E123" i="8"/>
  <c r="E122" i="8"/>
  <c r="E121" i="8"/>
  <c r="E118" i="8"/>
  <c r="E117" i="8"/>
  <c r="E115" i="8"/>
  <c r="E113" i="8"/>
  <c r="E110" i="8"/>
  <c r="E107" i="8"/>
  <c r="E106" i="8"/>
  <c r="E104" i="8"/>
  <c r="E103" i="8"/>
  <c r="B373" i="8" l="1"/>
  <c r="E388" i="8"/>
  <c r="E13" i="13"/>
  <c r="D384" i="8" l="1"/>
  <c r="E383" i="8"/>
  <c r="E381" i="8"/>
  <c r="E380" i="8"/>
  <c r="E379" i="8"/>
  <c r="E378" i="8"/>
  <c r="E376" i="8"/>
  <c r="D8" i="13"/>
  <c r="B324" i="8"/>
  <c r="K364" i="8"/>
  <c r="L364" i="8"/>
  <c r="E347" i="8"/>
  <c r="E351" i="8"/>
  <c r="E346" i="8"/>
  <c r="E345" i="8"/>
  <c r="E344" i="8"/>
  <c r="E343" i="8"/>
  <c r="E335" i="8"/>
  <c r="E334" i="8"/>
  <c r="E331" i="8"/>
  <c r="E332" i="8"/>
  <c r="E328" i="8"/>
  <c r="E295" i="8"/>
  <c r="E290" i="8"/>
  <c r="B188" i="8"/>
  <c r="B278" i="8" s="1"/>
  <c r="E228" i="8"/>
  <c r="E229" i="8"/>
  <c r="E230" i="8"/>
  <c r="E220" i="8"/>
  <c r="E221" i="8"/>
  <c r="E222" i="8"/>
  <c r="E224" i="8"/>
  <c r="E225" i="8"/>
  <c r="E226" i="8"/>
  <c r="E218" i="8"/>
  <c r="E214" i="8"/>
  <c r="E208" i="8"/>
  <c r="J179" i="8"/>
  <c r="K179" i="8"/>
  <c r="L179" i="8"/>
  <c r="K178" i="8"/>
  <c r="L178" i="8"/>
  <c r="J178" i="8"/>
  <c r="E89" i="8"/>
  <c r="E92" i="8"/>
  <c r="E93" i="8"/>
  <c r="E94" i="8"/>
  <c r="E95" i="8"/>
  <c r="E79" i="8"/>
  <c r="E81" i="8"/>
  <c r="E82" i="8"/>
  <c r="E83" i="8"/>
  <c r="E85" i="8"/>
  <c r="E86" i="8"/>
  <c r="E87" i="8"/>
  <c r="E88" i="8"/>
  <c r="E78" i="8"/>
  <c r="E77" i="8"/>
  <c r="E76" i="8"/>
  <c r="E75" i="8"/>
  <c r="E74" i="8"/>
  <c r="E73" i="8"/>
  <c r="L402" i="8" l="1"/>
  <c r="E72" i="8"/>
  <c r="E71" i="8"/>
  <c r="E70" i="8"/>
  <c r="E69" i="8"/>
  <c r="E68" i="8"/>
  <c r="E67" i="8"/>
  <c r="E66" i="8"/>
  <c r="E65" i="8"/>
  <c r="E63" i="8"/>
  <c r="E62" i="8"/>
  <c r="E61" i="8"/>
  <c r="E59" i="8"/>
  <c r="E58" i="8"/>
  <c r="E57" i="8"/>
  <c r="E56" i="8"/>
  <c r="E55" i="8"/>
  <c r="E54" i="8"/>
  <c r="E53" i="8"/>
  <c r="E51" i="8" l="1"/>
  <c r="E50" i="8"/>
  <c r="E49" i="8"/>
  <c r="E48" i="8"/>
  <c r="E47" i="8"/>
  <c r="E44" i="8" l="1"/>
  <c r="E21" i="8"/>
  <c r="E8" i="8"/>
  <c r="E9" i="8"/>
  <c r="E10" i="8"/>
  <c r="E11" i="8"/>
  <c r="E12" i="8"/>
  <c r="E13" i="8"/>
  <c r="E14" i="8"/>
  <c r="E15" i="8"/>
  <c r="E412" i="8"/>
  <c r="E38" i="8" l="1"/>
  <c r="C34" i="15" l="1"/>
  <c r="D34" i="15"/>
  <c r="B34" i="15"/>
  <c r="J163" i="14"/>
  <c r="E10" i="13" l="1"/>
  <c r="E384" i="8"/>
  <c r="K19" i="13" l="1"/>
  <c r="J19" i="13"/>
  <c r="I19" i="13"/>
  <c r="E12" i="13" l="1"/>
  <c r="E11" i="13"/>
  <c r="J20" i="13" l="1"/>
  <c r="J21" i="13" s="1"/>
  <c r="K20" i="13"/>
  <c r="K21" i="13" s="1"/>
  <c r="I20" i="13"/>
  <c r="I21" i="13" s="1"/>
  <c r="E340" i="8" l="1"/>
  <c r="E46" i="8"/>
  <c r="L366" i="8"/>
  <c r="K366" i="8"/>
  <c r="J366" i="8"/>
  <c r="L317" i="8"/>
  <c r="K317" i="8"/>
  <c r="J317" i="8"/>
  <c r="K222" i="14"/>
  <c r="K253" i="14" s="1"/>
  <c r="L222" i="14"/>
  <c r="L253" i="14" s="1"/>
  <c r="J222" i="14"/>
  <c r="J253" i="14" s="1"/>
  <c r="K221" i="14"/>
  <c r="L221" i="14"/>
  <c r="J221" i="14"/>
  <c r="J255" i="14" s="1"/>
  <c r="J185" i="14"/>
  <c r="K163" i="14"/>
  <c r="B68" i="14"/>
  <c r="B6" i="15" s="1"/>
  <c r="B4" i="15" s="1"/>
  <c r="B7" i="14"/>
  <c r="J257" i="14" l="1"/>
  <c r="J186" i="14"/>
  <c r="K56" i="7"/>
  <c r="I56" i="7"/>
  <c r="K55" i="7"/>
  <c r="K223" i="14"/>
  <c r="L223" i="14"/>
  <c r="J211" i="14"/>
  <c r="I54" i="7"/>
  <c r="C46" i="7"/>
  <c r="J223" i="14"/>
  <c r="K211" i="14"/>
  <c r="I55" i="7"/>
  <c r="B48" i="7"/>
  <c r="B46" i="7"/>
  <c r="J429" i="8"/>
  <c r="B47" i="7" s="1"/>
  <c r="J362" i="8"/>
  <c r="J428" i="8" s="1"/>
  <c r="L429" i="8"/>
  <c r="D47" i="7" s="1"/>
  <c r="L362" i="8"/>
  <c r="L428" i="8" s="1"/>
  <c r="K429" i="8"/>
  <c r="C47" i="7" s="1"/>
  <c r="K362" i="8"/>
  <c r="K428" i="8" s="1"/>
  <c r="C8" i="15"/>
  <c r="C7" i="15" s="1"/>
  <c r="C278" i="8"/>
  <c r="D8" i="15"/>
  <c r="D7" i="15" s="1"/>
  <c r="D278" i="8"/>
  <c r="J269" i="8"/>
  <c r="J270" i="8" s="1"/>
  <c r="B8" i="15"/>
  <c r="B7" i="15" s="1"/>
  <c r="L211" i="14"/>
  <c r="G43" i="7" l="1"/>
  <c r="J367" i="8"/>
  <c r="K185" i="14"/>
  <c r="L185" i="14"/>
  <c r="L255" i="14" s="1"/>
  <c r="E71" i="14"/>
  <c r="K255" i="14" l="1"/>
  <c r="L186" i="14"/>
  <c r="K186" i="14"/>
  <c r="D48" i="7"/>
  <c r="E70" i="14"/>
  <c r="E69" i="14" l="1"/>
  <c r="C18" i="15"/>
  <c r="D18" i="15"/>
  <c r="B18" i="15"/>
  <c r="E182" i="14"/>
  <c r="E181" i="14"/>
  <c r="E76" i="14"/>
  <c r="E72" i="14"/>
  <c r="E73" i="14"/>
  <c r="E74" i="14"/>
  <c r="E75" i="14"/>
  <c r="E219" i="14"/>
  <c r="E64" i="14"/>
  <c r="E61" i="14"/>
  <c r="E59" i="14"/>
  <c r="E232" i="14"/>
  <c r="E208" i="14"/>
  <c r="L79" i="14" l="1"/>
  <c r="E180" i="14"/>
  <c r="D235" i="14"/>
  <c r="C235" i="14"/>
  <c r="B235" i="14"/>
  <c r="E194" i="14"/>
  <c r="E15" i="13"/>
  <c r="C249" i="14" l="1"/>
  <c r="C27" i="7"/>
  <c r="C26" i="7" s="1"/>
  <c r="B249" i="14"/>
  <c r="B27" i="7"/>
  <c r="D249" i="14"/>
  <c r="E249" i="14" s="1"/>
  <c r="D27" i="7"/>
  <c r="D26" i="7" s="1"/>
  <c r="E235" i="14"/>
  <c r="E229" i="14"/>
  <c r="E88" i="14"/>
  <c r="E40" i="14"/>
  <c r="E36" i="14"/>
  <c r="B26" i="7" l="1"/>
  <c r="J56" i="7"/>
  <c r="E25" i="14"/>
  <c r="E20" i="14"/>
  <c r="E13" i="14"/>
  <c r="E11" i="14"/>
  <c r="E97" i="14"/>
  <c r="E99" i="14"/>
  <c r="E93" i="14"/>
  <c r="E95" i="14"/>
  <c r="E100" i="14"/>
  <c r="E101" i="14"/>
  <c r="E47" i="14"/>
  <c r="E48" i="14"/>
  <c r="E39" i="14"/>
  <c r="E45" i="14"/>
  <c r="E32" i="14"/>
  <c r="E33" i="14"/>
  <c r="E35" i="14"/>
  <c r="E28" i="14"/>
  <c r="E38" i="14"/>
  <c r="E46" i="14"/>
  <c r="E24" i="14"/>
  <c r="E92" i="14" l="1"/>
  <c r="E148" i="14"/>
  <c r="E154" i="14"/>
  <c r="D49" i="7" l="1"/>
  <c r="J55" i="7"/>
  <c r="E150" i="14"/>
  <c r="D46" i="7"/>
  <c r="C15" i="15"/>
  <c r="B15" i="15"/>
  <c r="D15" i="15"/>
  <c r="E138" i="14"/>
  <c r="E8" i="14"/>
  <c r="E10" i="14"/>
  <c r="E12" i="14"/>
  <c r="E16" i="14"/>
  <c r="E17" i="14"/>
  <c r="E19" i="14"/>
  <c r="B26" i="15" l="1"/>
  <c r="B13" i="15"/>
  <c r="J249" i="14"/>
  <c r="C49" i="7"/>
  <c r="L367" i="8"/>
  <c r="K404" i="8"/>
  <c r="L404" i="8"/>
  <c r="J404" i="8"/>
  <c r="K367" i="8"/>
  <c r="G37" i="7" l="1"/>
  <c r="G39" i="7" s="1"/>
  <c r="I53" i="7"/>
  <c r="B49" i="7"/>
  <c r="G45" i="7"/>
  <c r="C48" i="7"/>
  <c r="K257" i="14"/>
  <c r="L163" i="14"/>
  <c r="L257" i="14"/>
  <c r="J54" i="7"/>
  <c r="K249" i="14"/>
  <c r="J53" i="7"/>
  <c r="K53" i="7"/>
  <c r="E414" i="8"/>
  <c r="L420" i="8"/>
  <c r="L434" i="8" s="1"/>
  <c r="J420" i="8"/>
  <c r="J434" i="8" s="1"/>
  <c r="E402" i="8"/>
  <c r="D401" i="8"/>
  <c r="C401" i="8"/>
  <c r="B401" i="8"/>
  <c r="G49" i="7" l="1"/>
  <c r="G51" i="7" s="1"/>
  <c r="K54" i="7"/>
  <c r="L249" i="14"/>
  <c r="E413" i="8"/>
  <c r="K420" i="8"/>
  <c r="K434" i="8" s="1"/>
  <c r="E401" i="8"/>
  <c r="E395" i="8"/>
  <c r="B362" i="8"/>
  <c r="C362" i="8"/>
  <c r="D362" i="8"/>
  <c r="E363" i="8"/>
  <c r="E362" i="8" l="1"/>
  <c r="E155" i="8"/>
  <c r="E148" i="8"/>
  <c r="E147" i="8"/>
  <c r="E146" i="8"/>
  <c r="E145" i="8"/>
  <c r="E144" i="8"/>
  <c r="E139" i="8"/>
  <c r="E138" i="8"/>
  <c r="E394" i="8"/>
  <c r="E244" i="8"/>
  <c r="E116" i="8"/>
  <c r="E112" i="8"/>
  <c r="E109" i="8"/>
  <c r="E105" i="8"/>
  <c r="E102" i="8"/>
  <c r="E387" i="8"/>
  <c r="E386" i="8"/>
  <c r="E375" i="8"/>
  <c r="E342" i="8" l="1"/>
  <c r="E294" i="8" l="1"/>
  <c r="E285" i="8"/>
  <c r="E212" i="8"/>
  <c r="E215" i="8"/>
  <c r="E209" i="8"/>
  <c r="E210" i="8"/>
  <c r="E211" i="8"/>
  <c r="E205" i="8"/>
  <c r="E206" i="8"/>
  <c r="E207" i="8"/>
  <c r="E201" i="8"/>
  <c r="E202" i="8"/>
  <c r="E203" i="8"/>
  <c r="E204" i="8"/>
  <c r="E216" i="8"/>
  <c r="E198" i="8"/>
  <c r="E41" i="8"/>
  <c r="E42" i="8"/>
  <c r="E43" i="8"/>
  <c r="E37" i="8"/>
  <c r="E39" i="8"/>
  <c r="E32" i="8"/>
  <c r="E33" i="8"/>
  <c r="E34" i="8"/>
  <c r="E35" i="8"/>
  <c r="E36" i="8"/>
  <c r="E40" i="8"/>
  <c r="E29" i="8"/>
  <c r="E30" i="8"/>
  <c r="E31" i="8"/>
  <c r="D6" i="15" l="1"/>
  <c r="D26" i="15" l="1"/>
  <c r="D4" i="15"/>
  <c r="E220" i="14"/>
  <c r="E218" i="14"/>
  <c r="C200" i="14"/>
  <c r="B200" i="14"/>
  <c r="E175" i="14"/>
  <c r="E172" i="14"/>
  <c r="E153" i="14"/>
  <c r="E152" i="14"/>
  <c r="E149" i="14"/>
  <c r="E147" i="14"/>
  <c r="E144" i="14"/>
  <c r="E143" i="14"/>
  <c r="E141" i="14"/>
  <c r="E140" i="14"/>
  <c r="E139" i="14"/>
  <c r="E137" i="14"/>
  <c r="E123" i="14"/>
  <c r="E122" i="14"/>
  <c r="E121" i="14"/>
  <c r="E120" i="14"/>
  <c r="E119" i="14"/>
  <c r="E118" i="14"/>
  <c r="E117" i="14"/>
  <c r="E91" i="14"/>
  <c r="E87" i="14"/>
  <c r="E86" i="14"/>
  <c r="C6" i="15"/>
  <c r="E62" i="14"/>
  <c r="E60" i="14"/>
  <c r="E58" i="14"/>
  <c r="E57" i="14"/>
  <c r="E23" i="14"/>
  <c r="E22" i="14"/>
  <c r="E21" i="14"/>
  <c r="E14" i="14"/>
  <c r="D79" i="14"/>
  <c r="B79" i="14"/>
  <c r="E28" i="8"/>
  <c r="E27" i="8"/>
  <c r="E26" i="8"/>
  <c r="E25" i="8"/>
  <c r="E24" i="8"/>
  <c r="E23" i="8"/>
  <c r="E22" i="8"/>
  <c r="E20" i="8"/>
  <c r="E19" i="8"/>
  <c r="E18" i="8"/>
  <c r="E17" i="8"/>
  <c r="E16" i="8"/>
  <c r="B392" i="8"/>
  <c r="E382" i="8"/>
  <c r="E377" i="8"/>
  <c r="E374" i="8"/>
  <c r="C14" i="15"/>
  <c r="C13" i="15" s="1"/>
  <c r="D14" i="15"/>
  <c r="D13" i="15" s="1"/>
  <c r="E339" i="8"/>
  <c r="E337" i="8"/>
  <c r="E336" i="8"/>
  <c r="E333" i="8"/>
  <c r="E329" i="8"/>
  <c r="E327" i="8"/>
  <c r="C11" i="15"/>
  <c r="C10" i="15" s="1"/>
  <c r="D11" i="15"/>
  <c r="D10" i="15" s="1"/>
  <c r="B11" i="15"/>
  <c r="B10" i="15" s="1"/>
  <c r="C26" i="15" l="1"/>
  <c r="C4" i="15"/>
  <c r="D17" i="15"/>
  <c r="D16" i="15" s="1"/>
  <c r="D19" i="15" s="1"/>
  <c r="C17" i="15"/>
  <c r="C16" i="15" s="1"/>
  <c r="C19" i="15" s="1"/>
  <c r="B17" i="15"/>
  <c r="B16" i="15" s="1"/>
  <c r="B19" i="15" s="1"/>
  <c r="D5" i="15"/>
  <c r="C5" i="15"/>
  <c r="B5" i="15"/>
  <c r="E192" i="14"/>
  <c r="D200" i="14"/>
  <c r="E85" i="14"/>
  <c r="E136" i="14"/>
  <c r="E211" i="14"/>
  <c r="E171" i="14"/>
  <c r="C79" i="14"/>
  <c r="E373" i="8"/>
  <c r="D178" i="8"/>
  <c r="C178" i="8"/>
  <c r="B178" i="8"/>
  <c r="B427" i="8" s="1"/>
  <c r="D18" i="13"/>
  <c r="C18" i="13"/>
  <c r="B18" i="13"/>
  <c r="B25" i="15" l="1"/>
  <c r="B27" i="15" s="1"/>
  <c r="E366" i="8"/>
  <c r="C25" i="15"/>
  <c r="C27" i="15" s="1"/>
  <c r="D25" i="15"/>
  <c r="D27" i="15" s="1"/>
  <c r="L177" i="8"/>
  <c r="J177" i="8"/>
  <c r="C427" i="8"/>
  <c r="K177" i="8"/>
  <c r="K180" i="8" l="1"/>
  <c r="K427" i="8"/>
  <c r="J180" i="8"/>
  <c r="J427" i="8"/>
  <c r="L180" i="8"/>
  <c r="L427" i="8"/>
  <c r="E182" i="8"/>
  <c r="E315" i="8"/>
  <c r="D314" i="8"/>
  <c r="C314" i="8"/>
  <c r="B314" i="8"/>
  <c r="E314" i="8" l="1"/>
  <c r="C22" i="13" l="1"/>
  <c r="D22" i="13"/>
  <c r="B22" i="13"/>
  <c r="E18" i="13" l="1"/>
  <c r="K403" i="8"/>
  <c r="K405" i="8" s="1"/>
  <c r="L403" i="8"/>
  <c r="L405" i="8" s="1"/>
  <c r="J403" i="8"/>
  <c r="J430" i="8" l="1"/>
  <c r="B33" i="15" s="1"/>
  <c r="J405" i="8"/>
  <c r="K318" i="8"/>
  <c r="J318" i="8"/>
  <c r="L318" i="8"/>
  <c r="B36" i="15" l="1"/>
  <c r="I57" i="7"/>
  <c r="D418" i="8"/>
  <c r="D423" i="8" s="1"/>
  <c r="C418" i="8"/>
  <c r="C423" i="8" s="1"/>
  <c r="B418" i="8"/>
  <c r="B423" i="8" s="1"/>
  <c r="K269" i="8"/>
  <c r="K270" i="8" s="1"/>
  <c r="L269" i="8"/>
  <c r="L270" i="8" s="1"/>
  <c r="L422" i="8" l="1"/>
  <c r="L436" i="8" s="1"/>
  <c r="K51" i="7" s="1"/>
  <c r="D29" i="7"/>
  <c r="K422" i="8"/>
  <c r="K436" i="8" s="1"/>
  <c r="J51" i="7" s="1"/>
  <c r="C29" i="7"/>
  <c r="J422" i="8"/>
  <c r="J436" i="8" s="1"/>
  <c r="B29" i="7"/>
  <c r="I51" i="7"/>
  <c r="I58" i="7"/>
  <c r="J58" i="7"/>
  <c r="I50" i="7"/>
  <c r="J50" i="7"/>
  <c r="K50" i="7"/>
  <c r="B429" i="8"/>
  <c r="L419" i="8"/>
  <c r="L433" i="8" s="1"/>
  <c r="K49" i="7" s="1"/>
  <c r="J419" i="8"/>
  <c r="J433" i="8" s="1"/>
  <c r="I49" i="7" s="1"/>
  <c r="K419" i="8"/>
  <c r="K433" i="8" s="1"/>
  <c r="J49" i="7" s="1"/>
  <c r="B430" i="8"/>
  <c r="K48" i="7"/>
  <c r="L430" i="8"/>
  <c r="D33" i="15" s="1"/>
  <c r="K430" i="8"/>
  <c r="C33" i="15" s="1"/>
  <c r="J48" i="7"/>
  <c r="E411" i="8"/>
  <c r="D427" i="8"/>
  <c r="E310" i="8"/>
  <c r="E273" i="8"/>
  <c r="E274" i="8"/>
  <c r="E275" i="8"/>
  <c r="E276" i="8"/>
  <c r="E272" i="8"/>
  <c r="E264" i="8"/>
  <c r="E265" i="8"/>
  <c r="E267" i="8"/>
  <c r="E268" i="8"/>
  <c r="E269" i="8"/>
  <c r="E167" i="8"/>
  <c r="E168" i="8"/>
  <c r="E174" i="8"/>
  <c r="E163" i="8"/>
  <c r="E164" i="8"/>
  <c r="E153" i="8"/>
  <c r="J57" i="7" l="1"/>
  <c r="C36" i="15"/>
  <c r="D36" i="15"/>
  <c r="K57" i="7"/>
  <c r="I48" i="7"/>
  <c r="E427" i="8"/>
  <c r="E256" i="8" l="1"/>
  <c r="E257" i="8"/>
  <c r="E258" i="8"/>
  <c r="E260" i="8"/>
  <c r="E235" i="8" l="1"/>
  <c r="E238" i="8"/>
  <c r="E239" i="8"/>
  <c r="E240" i="8"/>
  <c r="E241" i="8"/>
  <c r="E243" i="8"/>
  <c r="E246" i="8"/>
  <c r="E247" i="8"/>
  <c r="E356" i="8" l="1"/>
  <c r="E419" i="8" l="1"/>
  <c r="C223" i="14"/>
  <c r="C248" i="14" s="1"/>
  <c r="C25" i="7" s="1"/>
  <c r="B223" i="14"/>
  <c r="B248" i="14" s="1"/>
  <c r="B25" i="7" s="1"/>
  <c r="E207" i="14"/>
  <c r="D247" i="14"/>
  <c r="C246" i="14"/>
  <c r="C21" i="7" s="1"/>
  <c r="C20" i="7" s="1"/>
  <c r="B246" i="14"/>
  <c r="B21" i="7" s="1"/>
  <c r="B20" i="7" s="1"/>
  <c r="D223" i="14" l="1"/>
  <c r="E223" i="14" s="1"/>
  <c r="E217" i="14"/>
  <c r="D23" i="7"/>
  <c r="D22" i="7" s="1"/>
  <c r="E110" i="14"/>
  <c r="B244" i="14"/>
  <c r="B15" i="7" s="1"/>
  <c r="B243" i="14"/>
  <c r="B12" i="7" s="1"/>
  <c r="E161" i="14"/>
  <c r="C245" i="14"/>
  <c r="C18" i="7" s="1"/>
  <c r="B247" i="14"/>
  <c r="B23" i="7" s="1"/>
  <c r="B22" i="7" s="1"/>
  <c r="D245" i="14"/>
  <c r="C242" i="14"/>
  <c r="C9" i="7" s="1"/>
  <c r="C247" i="14"/>
  <c r="E247" i="14" s="1"/>
  <c r="E206" i="14"/>
  <c r="D248" i="14" l="1"/>
  <c r="E248" i="14" s="1"/>
  <c r="D18" i="7"/>
  <c r="E245" i="14"/>
  <c r="E116" i="14"/>
  <c r="B241" i="14"/>
  <c r="C241" i="14"/>
  <c r="C23" i="7"/>
  <c r="C22" i="7" s="1"/>
  <c r="C244" i="14"/>
  <c r="C15" i="7" s="1"/>
  <c r="C243" i="14"/>
  <c r="C12" i="7" s="1"/>
  <c r="B242" i="14"/>
  <c r="E7" i="14"/>
  <c r="E68" i="14"/>
  <c r="D241" i="14"/>
  <c r="E186" i="14"/>
  <c r="D242" i="14"/>
  <c r="E242" i="14" s="1"/>
  <c r="E159" i="14"/>
  <c r="D25" i="7" l="1"/>
  <c r="C250" i="14"/>
  <c r="B6" i="7"/>
  <c r="C6" i="7"/>
  <c r="C37" i="7" s="1"/>
  <c r="D6" i="7"/>
  <c r="E241" i="14"/>
  <c r="B9" i="7"/>
  <c r="D9" i="7"/>
  <c r="E79" i="14"/>
  <c r="D246" i="14"/>
  <c r="E246" i="14" s="1"/>
  <c r="E200" i="14"/>
  <c r="D243" i="14"/>
  <c r="E243" i="14" s="1"/>
  <c r="E130" i="14"/>
  <c r="D244" i="14"/>
  <c r="E244" i="14" s="1"/>
  <c r="E164" i="14"/>
  <c r="D250" i="14" l="1"/>
  <c r="E250" i="14" s="1"/>
  <c r="D12" i="7"/>
  <c r="D15" i="7"/>
  <c r="D21" i="7"/>
  <c r="D20" i="7" s="1"/>
  <c r="D37" i="7" l="1"/>
  <c r="E397" i="8"/>
  <c r="E271" i="8"/>
  <c r="K58" i="7"/>
  <c r="E9" i="13"/>
  <c r="E291" i="8" l="1"/>
  <c r="E200" i="8"/>
  <c r="E197" i="8"/>
  <c r="E196" i="8"/>
  <c r="E195" i="8"/>
  <c r="E193" i="8"/>
  <c r="E192" i="8"/>
  <c r="E14" i="13" l="1"/>
  <c r="E8" i="13"/>
  <c r="B23" i="13"/>
  <c r="B19" i="7" s="1"/>
  <c r="B38" i="7" l="1"/>
  <c r="E7" i="13"/>
  <c r="C23" i="13"/>
  <c r="C19" i="7" s="1"/>
  <c r="C38" i="7" s="1"/>
  <c r="D23" i="13" l="1"/>
  <c r="D19" i="7" s="1"/>
  <c r="D38" i="7" s="1"/>
  <c r="E22" i="13"/>
  <c r="E23" i="13" l="1"/>
  <c r="E418" i="8" l="1"/>
  <c r="E179" i="8"/>
  <c r="E357" i="8" l="1"/>
  <c r="E263" i="8" l="1"/>
  <c r="E270" i="8"/>
  <c r="E261" i="8" l="1"/>
  <c r="E262" i="8"/>
  <c r="E100" i="8" l="1"/>
  <c r="B428" i="8" l="1"/>
  <c r="I52" i="7" l="1"/>
  <c r="J52" i="7"/>
  <c r="K52" i="7"/>
  <c r="E393" i="8" l="1"/>
  <c r="E288" i="8" l="1"/>
  <c r="E289" i="8"/>
  <c r="B432" i="8" l="1"/>
  <c r="B431" i="8"/>
  <c r="B433" i="8" l="1"/>
  <c r="B17" i="7"/>
  <c r="E300" i="8" l="1"/>
  <c r="E392" i="8"/>
  <c r="E188" i="8"/>
  <c r="E284" i="8"/>
  <c r="C429" i="8"/>
  <c r="E324" i="8"/>
  <c r="E234" i="8"/>
  <c r="E318" i="8" l="1"/>
  <c r="D429" i="8"/>
  <c r="E429" i="8" s="1"/>
  <c r="E162" i="8" l="1"/>
  <c r="E158" i="8"/>
  <c r="E156" i="8"/>
  <c r="E152" i="8"/>
  <c r="E151" i="8"/>
  <c r="E149" i="8"/>
  <c r="E142" i="8"/>
  <c r="E140" i="8"/>
  <c r="E133" i="8"/>
  <c r="E129" i="8"/>
  <c r="E128" i="8"/>
  <c r="E114" i="8"/>
  <c r="E159" i="8" l="1"/>
  <c r="E157" i="8"/>
  <c r="E135" i="8"/>
  <c r="E126" i="8"/>
  <c r="E120" i="8"/>
  <c r="E101" i="8"/>
  <c r="E108" i="8"/>
  <c r="E119" i="8"/>
  <c r="C24" i="7" l="1"/>
  <c r="B24" i="7"/>
  <c r="D24" i="7" l="1"/>
  <c r="E287" i="8" l="1"/>
  <c r="C431" i="8" l="1"/>
  <c r="C17" i="7" s="1"/>
  <c r="C16" i="7" s="1"/>
  <c r="D428" i="8"/>
  <c r="D430" i="8" l="1"/>
  <c r="D431" i="8" l="1"/>
  <c r="E431" i="8" s="1"/>
  <c r="E405" i="8"/>
  <c r="C430" i="8"/>
  <c r="E430" i="8" s="1"/>
  <c r="E278" i="8"/>
  <c r="C428" i="8"/>
  <c r="E428" i="8" l="1"/>
  <c r="D17" i="7"/>
  <c r="D16" i="7" s="1"/>
  <c r="J423" i="8" l="1"/>
  <c r="L438" i="8"/>
  <c r="L423" i="8"/>
  <c r="K438" i="8"/>
  <c r="K423" i="8"/>
  <c r="J438" i="8" l="1"/>
  <c r="B45" i="7"/>
  <c r="B50" i="7" s="1"/>
  <c r="K59" i="7"/>
  <c r="D45" i="7"/>
  <c r="D50" i="7" s="1"/>
  <c r="J59" i="7"/>
  <c r="C45" i="7"/>
  <c r="C50" i="7" s="1"/>
  <c r="I59" i="7"/>
  <c r="E355" i="8" l="1"/>
  <c r="E191" i="8" l="1"/>
  <c r="E190" i="8"/>
  <c r="E189" i="8"/>
  <c r="E286" i="8" l="1"/>
  <c r="E423" i="8" l="1"/>
  <c r="C432" i="8"/>
  <c r="C433" i="8" l="1"/>
  <c r="D432" i="8"/>
  <c r="D433" i="8" l="1"/>
  <c r="E432" i="8"/>
  <c r="E178" i="8"/>
  <c r="B28" i="7" l="1"/>
  <c r="B11" i="7"/>
  <c r="B10" i="7" s="1"/>
  <c r="C14" i="7"/>
  <c r="C13" i="7" s="1"/>
  <c r="D14" i="7"/>
  <c r="D13" i="7" s="1"/>
  <c r="B14" i="7"/>
  <c r="E7" i="8"/>
  <c r="E99" i="8"/>
  <c r="B13" i="7" l="1"/>
  <c r="D5" i="7"/>
  <c r="C11" i="7"/>
  <c r="C10" i="7" s="1"/>
  <c r="C28" i="7"/>
  <c r="D4" i="7" l="1"/>
  <c r="B5" i="7"/>
  <c r="C5" i="7"/>
  <c r="D28" i="7"/>
  <c r="D11" i="7"/>
  <c r="D10" i="7" s="1"/>
  <c r="C4" i="7" l="1"/>
  <c r="B4" i="7"/>
  <c r="E433" i="8"/>
  <c r="D8" i="7"/>
  <c r="D36" i="7" s="1"/>
  <c r="C8" i="7"/>
  <c r="C36" i="7" s="1"/>
  <c r="C39" i="7" l="1"/>
  <c r="D39" i="7"/>
  <c r="C7" i="7"/>
  <c r="C30" i="7" s="1"/>
  <c r="D7" i="7"/>
  <c r="D30" i="7" s="1"/>
  <c r="B8" i="7" l="1"/>
  <c r="B36" i="7" s="1"/>
  <c r="B7" i="7" l="1"/>
  <c r="B245" i="14"/>
  <c r="B250" i="14" s="1"/>
  <c r="B18" i="7" l="1"/>
  <c r="B37" i="7" l="1"/>
  <c r="B16" i="7"/>
  <c r="B30" i="7"/>
  <c r="B39" i="7"/>
</calcChain>
</file>

<file path=xl/comments1.xml><?xml version="1.0" encoding="utf-8"?>
<comments xmlns="http://schemas.openxmlformats.org/spreadsheetml/2006/main">
  <authors>
    <author>Foret Oldřich</author>
  </authors>
  <commentList>
    <comment ref="B55" authorId="0" shapeId="0">
      <text>
        <r>
          <rPr>
            <sz val="9"/>
            <color indexed="81"/>
            <rFont val="Tahoma"/>
            <family val="2"/>
            <charset val="238"/>
          </rPr>
          <t xml:space="preserve">+ Evropské programy 30, 60 - 76
+ Rezerva OPŘPO
- OMPSČ
</t>
        </r>
      </text>
    </comment>
  </commentList>
</comments>
</file>

<file path=xl/sharedStrings.xml><?xml version="1.0" encoding="utf-8"?>
<sst xmlns="http://schemas.openxmlformats.org/spreadsheetml/2006/main" count="1440" uniqueCount="579">
  <si>
    <t>schválený rozpočet</t>
  </si>
  <si>
    <t>upravený rozpočet</t>
  </si>
  <si>
    <t>ORG</t>
  </si>
  <si>
    <t>Celkem</t>
  </si>
  <si>
    <t>skutečnost</t>
  </si>
  <si>
    <t>název akce</t>
  </si>
  <si>
    <t xml:space="preserve"> %</t>
  </si>
  <si>
    <t>oblast školství</t>
  </si>
  <si>
    <t>oblast kultury</t>
  </si>
  <si>
    <t>oblast sociální</t>
  </si>
  <si>
    <t>oblast zdravotnictví</t>
  </si>
  <si>
    <t>oblast dopravy</t>
  </si>
  <si>
    <t>Rekapitulace:</t>
  </si>
  <si>
    <t xml:space="preserve"> - oblast dopravy</t>
  </si>
  <si>
    <t xml:space="preserve"> - oblast zdravotnictví</t>
  </si>
  <si>
    <t xml:space="preserve"> - oblast sociální</t>
  </si>
  <si>
    <t xml:space="preserve"> - oblast školství</t>
  </si>
  <si>
    <t xml:space="preserve"> - oblast kultury</t>
  </si>
  <si>
    <t>v Kč</t>
  </si>
  <si>
    <t>1. Oblast školství</t>
  </si>
  <si>
    <t xml:space="preserve">Oblast školství celkem </t>
  </si>
  <si>
    <t xml:space="preserve">Oblast sociální celkem </t>
  </si>
  <si>
    <t xml:space="preserve">Oblast kultury celkem </t>
  </si>
  <si>
    <t xml:space="preserve">Oblast zdravotnictví celkem </t>
  </si>
  <si>
    <t xml:space="preserve">Oblast dopravy celkem </t>
  </si>
  <si>
    <t xml:space="preserve"> - rozpočet kraje</t>
  </si>
  <si>
    <t>oblast krajské správy</t>
  </si>
  <si>
    <t>CELKEM</t>
  </si>
  <si>
    <t xml:space="preserve">2. Oblast sociální </t>
  </si>
  <si>
    <t>b/ akce zajišťované příspěvkovými organizacemi</t>
  </si>
  <si>
    <t xml:space="preserve">5. Oblast zdravotnictví </t>
  </si>
  <si>
    <t>oblast zdravotnictví - nájemné NOK</t>
  </si>
  <si>
    <t>ORJ 17</t>
  </si>
  <si>
    <t>oblast informačních technologií</t>
  </si>
  <si>
    <t>PO</t>
  </si>
  <si>
    <t>ORJ 04</t>
  </si>
  <si>
    <t>ORJ 59</t>
  </si>
  <si>
    <t>Vypořádání staveb po jejich dokončení z minulých let - výkupy pozemků a jiné</t>
  </si>
  <si>
    <t>ORJ 50</t>
  </si>
  <si>
    <t>Orj 03</t>
  </si>
  <si>
    <t>ORJ 52</t>
  </si>
  <si>
    <t>akce zajišťované příslušnými odbory</t>
  </si>
  <si>
    <t>Oblast krizového řízení</t>
  </si>
  <si>
    <t>Oblast krizového řízení celkem</t>
  </si>
  <si>
    <t xml:space="preserve"> - oblast krizového řízení</t>
  </si>
  <si>
    <t>100755</t>
  </si>
  <si>
    <t>II/369 Hanušovice - křižovatka I/11</t>
  </si>
  <si>
    <t>III/4359, III4353 Velký Týnec - rekonstrukce silnice, IV. Etapa</t>
  </si>
  <si>
    <t>kř. II/367 - Tovačov</t>
  </si>
  <si>
    <t>Přerov - Doloplazy - kř. II/437</t>
  </si>
  <si>
    <t>ORJ 50, UZ 88x</t>
  </si>
  <si>
    <t>b/ akce zajišťované Správou silnic Olomouckého kraje (ORG 1600)</t>
  </si>
  <si>
    <t>UZ 12</t>
  </si>
  <si>
    <t>oblast krizového řízení</t>
  </si>
  <si>
    <t xml:space="preserve"> - investiční výdaje odborů</t>
  </si>
  <si>
    <t>Oblast informačních technologií</t>
  </si>
  <si>
    <t>Oblast informačních technologií celkem</t>
  </si>
  <si>
    <t xml:space="preserve"> - oblast informačních technologií</t>
  </si>
  <si>
    <t>3. Oblast kultury</t>
  </si>
  <si>
    <t>4. Oblast dopravy</t>
  </si>
  <si>
    <t>Radslavice - průtah</t>
  </si>
  <si>
    <t>Leština - Hrabišín</t>
  </si>
  <si>
    <t>hr.okr.Ustí nad O - křiž. II/446 před Hanušovicemi</t>
  </si>
  <si>
    <t>6. Oblast cestovního ruchu</t>
  </si>
  <si>
    <t>Oblast cestovního ruchu</t>
  </si>
  <si>
    <t>Oblast cestovního ruchu celkem</t>
  </si>
  <si>
    <t>7. Oblast krizového řízení</t>
  </si>
  <si>
    <t>8. Oblast informačních technologií</t>
  </si>
  <si>
    <t xml:space="preserve"> - oblast cestovního ruchu</t>
  </si>
  <si>
    <t>oblast cestovního ruchu</t>
  </si>
  <si>
    <t>odbor kancelář ředitele</t>
  </si>
  <si>
    <t>1633</t>
  </si>
  <si>
    <t>1635</t>
  </si>
  <si>
    <t>1638</t>
  </si>
  <si>
    <t>1645</t>
  </si>
  <si>
    <t>1647</t>
  </si>
  <si>
    <t>1656</t>
  </si>
  <si>
    <t>100824</t>
  </si>
  <si>
    <t>ORJ 52, UZ 10</t>
  </si>
  <si>
    <t>ORJ 59, UZ 16</t>
  </si>
  <si>
    <t>Obchodní akademie, Olomouc - Zateplení uliční a dvorní fasády</t>
  </si>
  <si>
    <t>Gymnázium Jakuba Škody, Přerov, Komenského 29 - Výměna oken a oprava fasády historické budovy</t>
  </si>
  <si>
    <t>Střední průmyslová škola strojnická Olomouc - rozšíření učeben</t>
  </si>
  <si>
    <t>Střední škola, Základní škola a Mateřská škola Prof. V. Vejdovského - úprava venkovních ploch areálu, odloučené pracoviště SŠ Gorazdovo náměstí 1, Olomouc</t>
  </si>
  <si>
    <t>Gymnázium Olomouc-Hejčín - revitalizace sportovního areálu</t>
  </si>
  <si>
    <t xml:space="preserve">Bezbariérové úpravy školských zařízení v Olomouckém kraji - Obchodní akademie Olomouc </t>
  </si>
  <si>
    <t>Bezbariérový přístup do SPŠ Hranice a rekonstrukce chemické laboratoře</t>
  </si>
  <si>
    <t>Modernizace učeben a vybavení pro odborný výcvik (Střední škola gastronomie a farmářství Jeseník, pracoviště Horní Heřmanice)</t>
  </si>
  <si>
    <t>Výstavba odborných učeben pro výuku oboru 28-44-M/01 Aplikovaná chemie v bezbariérové škole (Střední škola logistiky a chemie, Olomouc, U Hradiska 29 )</t>
  </si>
  <si>
    <t>Centrum polytechnické výchovy (Střední škola polytechnická, Olomouc, Rooseveltova 79)</t>
  </si>
  <si>
    <t xml:space="preserve">Modernizace učeben, vybavení a vnitřní konektivity školy -  Gymnázium Olomouc – Hejčín </t>
  </si>
  <si>
    <t>Modernizace učeben a laboratoří na ulici Kouřílkova 8 a Bratří Hovůrkových 17 (Střední škola technická, Přerov)</t>
  </si>
  <si>
    <t>Pořízení vybavení pro odborné učebny - modernizace CNC zařízení a 3D zařízení včetně SW, rekonstrukce nové učebny programovatelných automatů, modernizace konektivity školy ve vazbě na odborné předměty (Střední průmyslová škola elektrotechnická, Mohelnice, Ge. Svobody 2)</t>
  </si>
  <si>
    <t>Domov u Třebůvky Loštice – rekonstrukce bytových jader</t>
  </si>
  <si>
    <t>Domov důchodců Prostějov - Modernizace sociálních zařízení</t>
  </si>
  <si>
    <t>Vincentinum Šternberk, příspěvková organizace – rekonstrukce budovy ve Vikýřovicích</t>
  </si>
  <si>
    <t xml:space="preserve">Centrum Dominika Kokory, p. o. – rekonstrukce budovy </t>
  </si>
  <si>
    <t>Vypořádání staveb po jejich dokončení z minul. let - výkupy pozemků a jiné</t>
  </si>
  <si>
    <t xml:space="preserve">Štěpánov, křižovatka Březecká </t>
  </si>
  <si>
    <t>Štarnov - průtah</t>
  </si>
  <si>
    <t xml:space="preserve">Zvýšení přeshraniční dostupnosti Hanušovice – Stronie Ślaskie </t>
  </si>
  <si>
    <t xml:space="preserve">Zvýšení přeshraniční dostupnosti Písečná – Nysa </t>
  </si>
  <si>
    <t>ZZS OK  - Čerpací stanice pro heliport Olomouc</t>
  </si>
  <si>
    <t>Zdravotnická záchranná služba OK - výstavba dvougaráže výjezdové základny v Hanušovicích</t>
  </si>
  <si>
    <t>SMN a.s. - o.z. Nemocnice Šternberk - Interní pavilon</t>
  </si>
  <si>
    <t>Kybernetická bezpečnost Krajského úřadu Olomouckého kraje</t>
  </si>
  <si>
    <t>1639</t>
  </si>
  <si>
    <t>1641</t>
  </si>
  <si>
    <t>1642</t>
  </si>
  <si>
    <t>1657</t>
  </si>
  <si>
    <t>1660</t>
  </si>
  <si>
    <t>1661</t>
  </si>
  <si>
    <t>1663</t>
  </si>
  <si>
    <t>100130 + 000000</t>
  </si>
  <si>
    <t xml:space="preserve">a) Financováno z rozpočtu Olomouckého kraje </t>
  </si>
  <si>
    <t xml:space="preserve"> - oblast zdravotnictví - nájemné NOK</t>
  </si>
  <si>
    <t>101192</t>
  </si>
  <si>
    <t>101193</t>
  </si>
  <si>
    <t>101194</t>
  </si>
  <si>
    <t>101195</t>
  </si>
  <si>
    <t>101197</t>
  </si>
  <si>
    <t>101201</t>
  </si>
  <si>
    <t>101205</t>
  </si>
  <si>
    <t>101206</t>
  </si>
  <si>
    <t>101207</t>
  </si>
  <si>
    <t>a) akce zajišťované odborem investic</t>
  </si>
  <si>
    <t>c) SMN</t>
  </si>
  <si>
    <t>PO, ORJ 12</t>
  </si>
  <si>
    <t>Střední průmyslová škola, Přerov, Havlíčkova 2 - Výměna elektrorozvodů</t>
  </si>
  <si>
    <t>Střední škola gastronomie a farmářství Jeseník - Venkovní kanalizace areálu Horní Heřmanice</t>
  </si>
  <si>
    <t>Gymnázium Šternberk - Úprava školního hřiště a nové oplocení hřiště</t>
  </si>
  <si>
    <t>Střední zdravotnická škola a Vyšší odborná škola zdravotnická Emanuela Pöttinga a Jazyková škola s právem státní jazykové zkoušky Olomouc - Šatny</t>
  </si>
  <si>
    <t>Střední škola a Základní škola prof. Z. Matějčka Olomouc - Stavební úpravy venkovního sportovního areálu Táboritů</t>
  </si>
  <si>
    <t>Základní umělecká škola Litovel - Rekonstrukce budovy ZUŠ - 1. etapa</t>
  </si>
  <si>
    <t>Gymnázium Jeseník - Venkovní hřiště</t>
  </si>
  <si>
    <t>Střední škola gastronomie a farmářství Jeseník - Výstavba jateční pořážky</t>
  </si>
  <si>
    <t>Domov pro seniory Červenka - Nadstavba a přístavba hospodářské budovy</t>
  </si>
  <si>
    <t xml:space="preserve">Sociální služby pro seniory Šumperk - Výstavba parkoviště </t>
  </si>
  <si>
    <t>Domov Na zámečku Rokytnice - Výměna elektroinstalace v objektu zámku</t>
  </si>
  <si>
    <t>Domov pro seniory Červenka - Vybudování šaten pro zaměstnance</t>
  </si>
  <si>
    <t>Vincentinum - poskytovatel sociálních služeb Šternberk - Rekonstrukce prostoru na zahradě k volnočasovým aktivitám</t>
  </si>
  <si>
    <t>Domov Na zámečku Rokytnice - Půdní vestavba</t>
  </si>
  <si>
    <t xml:space="preserve">Středisko sociální prevence Olomouc - Fasáda a zateplení </t>
  </si>
  <si>
    <t>Domov Sněženka Jeseník - Vzduchotechnika kuchyně a prádelny</t>
  </si>
  <si>
    <t>Domov Sněženka Jeseník - Stavební úpravy schodišťových věží</t>
  </si>
  <si>
    <t xml:space="preserve">Klíč – centrum sociálních služeb - Výstavba objektu pro osoby s poruchou autistického spektra </t>
  </si>
  <si>
    <t>Přestavba křižovatky před železničním přejezdem u obce Smržice</t>
  </si>
  <si>
    <t>III/37349 Ptení - obchvat</t>
  </si>
  <si>
    <t>II/150 Vícov - obchvat obce</t>
  </si>
  <si>
    <t>OLÚ Paseka -Budova "C" I. etapa, část II. - nástavba o 4. NP a rekonstrukce 3.NP</t>
  </si>
  <si>
    <t>a) akce zajišťované odborem investic a odborem strategického rozvoje kraje</t>
  </si>
  <si>
    <t>Realizace energeticky úsporných opatření - SPŠ Hranice</t>
  </si>
  <si>
    <t>ORJ 52, UZ 88x</t>
  </si>
  <si>
    <t>Hotelová škola Vincenze Priessnitze, Jeseník, Dukelská 680 - Zateplení budovy Kord a) zateplení</t>
  </si>
  <si>
    <t>Střední škola gastronomie a farmářství Jeseník - Tělocvična</t>
  </si>
  <si>
    <t>Střední škola logistiky a chemie, Olomouc, U Hradiska 29 - Zateplení budovy školy a) zateplení</t>
  </si>
  <si>
    <t>Základní umělecká škola  Iši Krejčího Olomouc, Na Vozovce 32 - Výměna oken a zateplení pláště budov a) zateplení</t>
  </si>
  <si>
    <t>Realizace energeticky úsporných opatření – SŠ technická a zemědělská Mohelnice a) zateplení</t>
  </si>
  <si>
    <t>Realizace energeticky úsporných opatření  – SOŠ Šumperk, Zemědělská 3 - tělocvična</t>
  </si>
  <si>
    <t>Realizace energeticky úsporných opatření - SPŠ elektrotechnická Mohelnice - škola, dílny a) zateplení</t>
  </si>
  <si>
    <t>Švehlova střední škola polytechnická Prostějov – Centrum odborné přípravy pro obory polytechnického zaměření</t>
  </si>
  <si>
    <t>Transformace příspěvkové organizace Nové Zámky – poskytovatel sociálních služeb - III. Etapa</t>
  </si>
  <si>
    <t>Transformace příspěvkové organizace Nové Zámky – poskytovatel sociálních služeb - IV. Etapa</t>
  </si>
  <si>
    <t>Muzeum Komenského v Přerově – Záchrana a zpřístupnění paláce na hradě Helfštýn</t>
  </si>
  <si>
    <t>Realizace depozitáře pro Vědeckou knihovnu v Olomouci</t>
  </si>
  <si>
    <t>Muzeum Komenského v Přerově - rekonstrukce budovy</t>
  </si>
  <si>
    <t>Muzeum Komenského v Přerově – rekonstrukce budovy ORNIS</t>
  </si>
  <si>
    <t>Ohrozim - obchvat</t>
  </si>
  <si>
    <t>Prostějov - přeložka silnice II/366 od Tesca</t>
  </si>
  <si>
    <t>Mohelnice - křížení s železniční tratí</t>
  </si>
  <si>
    <t>II/433 Prostějov - Mořice</t>
  </si>
  <si>
    <t>II/449 MÚK Unčovice - Litovel</t>
  </si>
  <si>
    <t>II/150 Prostějov - Přerov</t>
  </si>
  <si>
    <t>II/570 Slatinice - Olomouc</t>
  </si>
  <si>
    <t>II/447 Strukov - Šternberk</t>
  </si>
  <si>
    <t>II/444 kř. R35 Mohelnice - Úsov</t>
  </si>
  <si>
    <t>II/150 hr. kraje - Prostějov</t>
  </si>
  <si>
    <t>II/150 Přerov - jihozápadní obchvat, přeložka</t>
  </si>
  <si>
    <t>ZZS OK - Výstavba nových výjezdových základen - Uničov</t>
  </si>
  <si>
    <t>ZZS OK - Výstavba nových výjezdových základen – Šternberk</t>
  </si>
  <si>
    <t>ZZS OK - Výstavba nových výjezdových základen – Zábřeh</t>
  </si>
  <si>
    <t>ZZS OK - Výstavba nových výjezdových základen – Jeseník</t>
  </si>
  <si>
    <t>Úprava sluneční louky OLÚ Paseka</t>
  </si>
  <si>
    <t>Obnova zahrady Zdravotnického zařízení v Moravském Berouně</t>
  </si>
  <si>
    <t xml:space="preserve">Česko-polská Hřebenovká – východní část </t>
  </si>
  <si>
    <t>ZZS OK – Modernizace, budování a rozvoj informačních a komunikačních systémů</t>
  </si>
  <si>
    <t>Specifické informační systémy Krajského úřadu Olomouckého kraje</t>
  </si>
  <si>
    <t xml:space="preserve"> - SMN</t>
  </si>
  <si>
    <t>odbor kancelář hejtmana</t>
  </si>
  <si>
    <t>ORJ 12, UZ 107117968, 107517969</t>
  </si>
  <si>
    <t>Muzeum a galerie  v Prostějově - Červený domek Petra Bezruče v Kostelci na Hané</t>
  </si>
  <si>
    <t>Zámek Čechy pod Kosířem - rekonstrukce a využití objektů, V. etapa</t>
  </si>
  <si>
    <t>Vlastivědné muzeum v Olomouci - Rekonstrukce krovů v budově VMO a oprava římsy nad parkánem</t>
  </si>
  <si>
    <t>Vědecká knihovna v Olomouci - stavební úpravy objektu Červeného kostela</t>
  </si>
  <si>
    <t>Vlastivědné muzeum v Olomouci - Revitalizace vodních prvků v zámeckém parku Čechy pod Kosířem</t>
  </si>
  <si>
    <t>Orj 18</t>
  </si>
  <si>
    <t>1650</t>
  </si>
  <si>
    <t>1653</t>
  </si>
  <si>
    <t>1658</t>
  </si>
  <si>
    <t>ORJ 19, UZ 10, POL 5331</t>
  </si>
  <si>
    <t>PO, UZ 11, POL 5331</t>
  </si>
  <si>
    <t>ORJ 19, UZ 10, POL 6351</t>
  </si>
  <si>
    <t>PO, UZ 11, POL 6351</t>
  </si>
  <si>
    <t>1640</t>
  </si>
  <si>
    <t>1646</t>
  </si>
  <si>
    <t>1652</t>
  </si>
  <si>
    <t>1654</t>
  </si>
  <si>
    <t>1659</t>
  </si>
  <si>
    <t>PO, UZ 13, POL 5331</t>
  </si>
  <si>
    <t>PO, UZ 13, POL 6351</t>
  </si>
  <si>
    <t>ORJ 19, UZ 14, POL 5331</t>
  </si>
  <si>
    <t>ORJ 19, UZ 14, POL 6351</t>
  </si>
  <si>
    <t>Účelové dotace</t>
  </si>
  <si>
    <t>Orj 01</t>
  </si>
  <si>
    <t>Zapojení KB</t>
  </si>
  <si>
    <t>RU - Skutečnost</t>
  </si>
  <si>
    <t>akce zajišťované odborem investic</t>
  </si>
  <si>
    <t>c) akce zajišťované odborem majetkovým, právním a správních činností</t>
  </si>
  <si>
    <t>Investiční výdaje odborů celkem</t>
  </si>
  <si>
    <t xml:space="preserve">Oblast zdravotnictví </t>
  </si>
  <si>
    <t>SMN a.s. - o.z. Nemocnice Šternberk - rekonstrukce střech a oken</t>
  </si>
  <si>
    <t xml:space="preserve">Realizace energeticky úsporných opatření - Nemocnice Přerov-domov sester </t>
  </si>
  <si>
    <t>SMN</t>
  </si>
  <si>
    <t xml:space="preserve"> - projekty spolufinancované</t>
  </si>
  <si>
    <t>b) Projekty spolufinancované z evropských a národních fondů</t>
  </si>
  <si>
    <t xml:space="preserve">Rekapitulace dle financovaných oblastí: </t>
  </si>
  <si>
    <t>akce hrazené z rozpočtu OK</t>
  </si>
  <si>
    <t>projekty spolufinancované z EF a NF</t>
  </si>
  <si>
    <t>akce hrazené z nájemného SMN</t>
  </si>
  <si>
    <t xml:space="preserve">Rekapitulace dle zdrojů financování: </t>
  </si>
  <si>
    <t>hrazené z rozpočtu OK</t>
  </si>
  <si>
    <t>hrazené z účelových dotací</t>
  </si>
  <si>
    <t>Modernizace školních dílen jako centrum odborné přípravy – stavební část (Sigmundova střední škola strojírenská , Lutín)</t>
  </si>
  <si>
    <t>Podpora přírodních věd, technických oborů a využití digitálních technologií v zájmovém vzdělávání</t>
  </si>
  <si>
    <t>101286</t>
  </si>
  <si>
    <t>101287</t>
  </si>
  <si>
    <t>101288</t>
  </si>
  <si>
    <t>101290</t>
  </si>
  <si>
    <t>101292</t>
  </si>
  <si>
    <t>101293</t>
  </si>
  <si>
    <t>101296</t>
  </si>
  <si>
    <t>101299</t>
  </si>
  <si>
    <t>101300</t>
  </si>
  <si>
    <t>101301</t>
  </si>
  <si>
    <t>101302</t>
  </si>
  <si>
    <t>101304</t>
  </si>
  <si>
    <t>101327</t>
  </si>
  <si>
    <t>101348</t>
  </si>
  <si>
    <t>101349</t>
  </si>
  <si>
    <t>Vyšší odborná škola a Střední průmyslová škola, Šumperk, Gen. Krátkého 1</t>
  </si>
  <si>
    <t>1631</t>
  </si>
  <si>
    <t>PO, Pol 5331</t>
  </si>
  <si>
    <t>PO, Pol 6351</t>
  </si>
  <si>
    <t>ORJ 6</t>
  </si>
  <si>
    <t>odbor informačních technologií</t>
  </si>
  <si>
    <t>Orj 06</t>
  </si>
  <si>
    <t>Gymnázium, Olomouc - Hejčín, Tomkova 45 - Výměna střechy - budova B a spojovací chodba</t>
  </si>
  <si>
    <t xml:space="preserve">Střední odborná škola průmyslová a Střední odborné učiliště strojírenské, Prostějov, Lidická 4 - Střecha Wolkerova </t>
  </si>
  <si>
    <t xml:space="preserve">Střední průmyslová škola, Přerov, Havlíčkova 2 - Modernizace laboratoří elektrotechniky a strojírenství na SPŠ Přerov, Havlíčkova 2  </t>
  </si>
  <si>
    <t>Střední zdravotnická škola a Vyšší odborná škola zdravotnická Emanuela Pöttinga a Jazyková škola s právem státní jazykové zkoušky Olomouc - Elektroinstalace v budově domova mládeže</t>
  </si>
  <si>
    <t>Střední odborná škola lesnická a strojírenská Šternberk - Výměna střešní krytiny</t>
  </si>
  <si>
    <t>Střední zdravotnická škola a Vyšší odborná škola zdravotnická Emanuela Pöttinga a Jazyková škola s právem státní jazykové zkoušky Olomouc - Výměna výtahu v budově DM</t>
  </si>
  <si>
    <t>Střední zdravotnická škola, Nová 1820, Hranice - Stavební úpravy kuchyně</t>
  </si>
  <si>
    <t>Střední odborná škola lesnická a strojírenská Šternberk - Rozšíření kapacity dílen odborného výcviku</t>
  </si>
  <si>
    <t>Střední škola gastronomie a farmářství Jeseník - Pracoviště odborného výcviku cukrárny a pekány</t>
  </si>
  <si>
    <t xml:space="preserve">Gymnázium, Olomouc - Hejčín, Tomkova 45 - Elektroinstalace na budově A a C </t>
  </si>
  <si>
    <t>Střední škola zemědělská, Přerov, Osmek 47 - Komunikace v areálu školy</t>
  </si>
  <si>
    <t>Střední škola železniční, technická a služeb, Šumperk - dílny</t>
  </si>
  <si>
    <t>ZUŠ Iši Krejčího Olomouc, Na Vozovce 32 - sanace objektu Jílová 43A</t>
  </si>
  <si>
    <t>Střední škola gastronomie a farmářství Jeseník - Rekonstrukce umýváren starého domova mládeže</t>
  </si>
  <si>
    <t>Švehlova střední škola polytechnická, Prostějov – rekonstrukce stravovacího provozu</t>
  </si>
  <si>
    <t>Střední odborná škola a Střední odborné učiliště strojírenské a stavební, Jeseník – Vybudování vodovodní přípojky do areálu dílen praktické výuky</t>
  </si>
  <si>
    <t>Dětský domov a Školní jídelna Prostějov - Komunikace</t>
  </si>
  <si>
    <t>Domov Sněženka Jeseník, příspěvková organizace - Vybudování 3 nových pokojů a místnosti bezpečného pobytu</t>
  </si>
  <si>
    <t xml:space="preserve">Domov pro seniory Červenka, příspěvková organizace - Oplocení areálu </t>
  </si>
  <si>
    <t>Vincentinum - poskytovatel sociálních služeb Šternberk, příspěvková organizace - Výměna plastových oken, sítě proti hmyzu a žaluzie</t>
  </si>
  <si>
    <t>Domov "Na Zámku“, příspěvková organizace - Podlaha průjezdu</t>
  </si>
  <si>
    <t xml:space="preserve">Domov Alfreda Skeneho Pavlovice u Přerova, příspěvková organizace - Výtah budova Eliška </t>
  </si>
  <si>
    <t>Centrum Dominika Kokory, příspěvková organizace - Koupelny a WC na pracovišti Dřevohostice</t>
  </si>
  <si>
    <t>Domov seniorů POHODA Chválkovice, příspěvková organizace - Revitalizace parkové úpravy</t>
  </si>
  <si>
    <t xml:space="preserve">Domov "Na Zámku“, příspěvková organizace - Vybudování výtahu </t>
  </si>
  <si>
    <t>Domov Alfreda Skeneho Pavlovice u Přerova, příspěvková organizace - Stavební úpravy pokojů a sociálních zařízení – budova Marie</t>
  </si>
  <si>
    <t>Domov Alfreda Skeneho Pavlovice u Přerova, příspěvková organizace - Stavební úpravy areálové komunikace</t>
  </si>
  <si>
    <t>Domov Alfreda Skeneho Pavlovice u Přerova, příspěvková organizace - Stavební úpravy pokojů a sociálních zařízení – budova Eliška</t>
  </si>
  <si>
    <t>Centrum Dominika Kokory, příspěvková organizace - Střešní krytina, tepelné izolace a oprava uliční fasády - budova Kokory</t>
  </si>
  <si>
    <t>Domov Alfreda Skeneho Pavlovice u Přerova, příspěvková organizace - Stavební úpravy pokojů a sociálních zařízení – budova Zámku</t>
  </si>
  <si>
    <t>Transformace příspěvkové organizace Nové Zámky – poskytovatel sociálních služeb - V.etapa -  novostavba RD Medlov – Králová</t>
  </si>
  <si>
    <t>Transformace příspěvkové organizace Nové Zámky – poskytovatel sociálních služeb - V.etapa -  novostavba RD Náměšť na Hané</t>
  </si>
  <si>
    <t>Vlastivědné muzeum Jesenicka - statické zabezpečení vodní tvrze</t>
  </si>
  <si>
    <t xml:space="preserve">Vlastivědné muzeum v Olomouci - Zastřešení atria </t>
  </si>
  <si>
    <t>Muzeum a galerie v Prostějově, příspěvková organizace - Bezbariérové úpravy budovy muzea</t>
  </si>
  <si>
    <t>Vlastivědné muzeum v Olomouci – Zámek Čechy pod Kosířem - rekonstrukce a využití objektů, VI. Etapa</t>
  </si>
  <si>
    <t>III/43621, III/43622 Velký Týnec, Čechovice - rekonstrukce silnic</t>
  </si>
  <si>
    <t>II/440 Hranice severovýchodní obchvat</t>
  </si>
  <si>
    <t>Dětské centrum Ostrůvek - Přestavba budovy C na zařízení rodinného typu</t>
  </si>
  <si>
    <t>Odborný léčebný ústav Paseka, příspěvková organizace - Modernizace lůžkových odd. pavilonu 2 s rekonstrukcí schodiště a výtahu na evakuační.</t>
  </si>
  <si>
    <t>Odborný léčebný ústav, Paseka  - Modernizace lůžkového fondu pavilonu A</t>
  </si>
  <si>
    <t>Mateřská škola, Blanická 16, Olomouc</t>
  </si>
  <si>
    <t>Základní škola, Šternberská 456, Uničov</t>
  </si>
  <si>
    <t>Základní škola a Mateřská škola Jeseník, Fučíkova 312</t>
  </si>
  <si>
    <t>Gymnázium, Horní náměstí 5,  Šternberk</t>
  </si>
  <si>
    <t>Gymnázium, Gymnazijní 257, 783 91 Uničov</t>
  </si>
  <si>
    <t>Gymnázium, Masarykovo nám. 8, Šumperk</t>
  </si>
  <si>
    <t>Střední průmyslová škola, Studentská 1384,   Hranice</t>
  </si>
  <si>
    <t>Gymnázium Jana Blahoslava a Střední pedagogická škola, Denisova 3,  Přerov</t>
  </si>
  <si>
    <t>Střední škola zemědělská, Přerov I – Město, Osmek 367/47</t>
  </si>
  <si>
    <t>Obchodní akademie, Palackého 18, Prostějov</t>
  </si>
  <si>
    <t>Střední škola logistiky a chemie, U Hradiska 29, Olomouc</t>
  </si>
  <si>
    <t>Dětský domov a Školní jídelna, U sportovní haly 1a/544, Olomouc</t>
  </si>
  <si>
    <t>Střední škola sociální péče a služeb, nám. 8. května č. 2, Zábřeh</t>
  </si>
  <si>
    <t>Střední průmyslová škola strojnická Olomouc, 17. listopadu 995/49</t>
  </si>
  <si>
    <t xml:space="preserve">Švehlova střední škola polytechnická, nám. Spojenců 17, Prostějov </t>
  </si>
  <si>
    <t>Střední lesnická škola, Jurikova 588, Hranice</t>
  </si>
  <si>
    <t>Střední odborná škola, Zemědělská 3, Šumperk</t>
  </si>
  <si>
    <t>Střední škola železniční, technická a služeb, Šumperk, Gen.Krátkého 30</t>
  </si>
  <si>
    <t>Střední odborná škola a Střední odborné učiliště strojírenské a stavební, Dukelská 1240, Jeseník</t>
  </si>
  <si>
    <t>Obchodní akademie a Jazyková škola s právem státní jazykové zkoušky,  Bartošova 24, Přerov 2</t>
  </si>
  <si>
    <t>Obchodní akademie, Olomoucká 82, Mohelnice</t>
  </si>
  <si>
    <t>Střední zdravotnická škola a Vyšší odborná škola zdravotnická Emanuela Pöttinga a Jazyková škola s právem státní jazykové zkoušky, Pöttingova 2, Olomouc</t>
  </si>
  <si>
    <t>Hotelová škola Vincenze Priessnitze a Obchodní akademie Jeseník, Dukelská 680, Jeseník</t>
  </si>
  <si>
    <t>Střední škola polytechnická, Rooseveltova 79, Olomouc</t>
  </si>
  <si>
    <t>Střední odborná škola obchodu a služeb, Štursova 14, Olomouc</t>
  </si>
  <si>
    <t>Střední odborná škola lesnická a strojírenská, Opavská 8, Šternberk</t>
  </si>
  <si>
    <t>Střední škola gastronomie a farmářství, U Jatek 916/8, Jeseník</t>
  </si>
  <si>
    <t>Pedagogicko - psychologická poradna a Speciálně pedagogické centrum Olomouckého kraje, U sportovní haly 1a/544, Olomouc</t>
  </si>
  <si>
    <t>Domov Sněženka Jeseník, Moravská 814/2, Jeseník</t>
  </si>
  <si>
    <t>Domov pro seniory Červenka, Nádražní 105, Červenka</t>
  </si>
  <si>
    <t>Sociální služby pro seniory Olomouc, Zikova 14, Olomouc</t>
  </si>
  <si>
    <t>Klíč - centrum sociálních služeb, Dolní hejčínská 50/28, Olomouc</t>
  </si>
  <si>
    <t>Nové Zámky - poskytovatel sociálních služeb, Nové Zámky 2, Litovel</t>
  </si>
  <si>
    <t>Sociální služby pro seniory Šumperk, U Sanatoria 25, Šumperk</t>
  </si>
  <si>
    <t>Domov Štíty-Jedlí, Na Pilníku 222, Štíty</t>
  </si>
  <si>
    <t>Domov Paprsek Olšany, Olšany 105</t>
  </si>
  <si>
    <t>Domov seniorů Prostějov, Nerudova 70, Prostějov</t>
  </si>
  <si>
    <t>Domov "Na Zámku", nám. děkana Františka Kvapila 17, Nezamyslice</t>
  </si>
  <si>
    <t>Centrum sociálních služeb, Lidická 86, Prostějov</t>
  </si>
  <si>
    <t>Domov pro seniory, Radkova Lhota 16, Dřevohostice</t>
  </si>
  <si>
    <t>Domov Alfreda Skeneho, Pavlovice u Přerova 95</t>
  </si>
  <si>
    <t>Centrum Dominika Kokory, Kokory 54</t>
  </si>
  <si>
    <t>Domov pro seniory Javorník, Školní 104, Javorník</t>
  </si>
  <si>
    <t>Domov seniorů POHODA, Švabinského 3, Olomouc - Chválkovice</t>
  </si>
  <si>
    <t>Vincentinum - poskytovatel sociálních služeb Šternberk, Sadová 7, Šternberk</t>
  </si>
  <si>
    <t>Sociální služby Libina, Libina 540</t>
  </si>
  <si>
    <t>Domov pro seniory Jesenec, Jesenec 1</t>
  </si>
  <si>
    <t>Domov pro seniory Tovačov, Nádražní 94, Tovačov I-Město</t>
  </si>
  <si>
    <t>Domov Větrný mlýn Skalička, Skalička 1</t>
  </si>
  <si>
    <t>Domov Na zámečku Rokytnice, U Rybníčka 1, Rokytnice</t>
  </si>
  <si>
    <t>Vlastivědné muzeum v Olomouci, nám. Republiky 5/6, Olomouc</t>
  </si>
  <si>
    <t>Vlastivědné muzeum Jesenicka, příspěvková organizace, Zámecké nám. 1, Jeseník</t>
  </si>
  <si>
    <t>Muzeum a galerie v Prostějově, příspěvková organizace, nám. T.G. Masaryka 2, Prostějov</t>
  </si>
  <si>
    <t>Muzeum Komenského v Přerově, příspěvková organizace, Horní náměstí 7, Přerov</t>
  </si>
  <si>
    <t>Vlastivědné muzeum v Šumperku, příspěvková organizace, Hlavní tř. 22, Šumperk</t>
  </si>
  <si>
    <t>Archeologické centrum Olomouc, příspěvková organizace, U Hradiska 42/6, Olomouc</t>
  </si>
  <si>
    <t>Vědecká knihovna v Olomouci, Bezručova 1180/3, Olomouc</t>
  </si>
  <si>
    <t>Správa silnic Olomouckého kraje, Lipenská 120, Olomouc</t>
  </si>
  <si>
    <t>Odborný léčebný ústav, Paseka 145</t>
  </si>
  <si>
    <t>Zdravotnická záchranná služba Olomouckého kraje, Aksamitova 8, Olomouc</t>
  </si>
  <si>
    <t>ORJ 50, UZ 896/897</t>
  </si>
  <si>
    <t>ORJ 50, UZ 110595113/110595823</t>
  </si>
  <si>
    <t>Šternberk – průtah</t>
  </si>
  <si>
    <t>II/448 Olomouc - přeložka silnice (I. a II. etapa)</t>
  </si>
  <si>
    <t>II/366 Konice - Prostějov</t>
  </si>
  <si>
    <t>ORJ 12, UZ 898</t>
  </si>
  <si>
    <t>ORJ 52, UZ 880/884</t>
  </si>
  <si>
    <t>ORJ 52, UZ 880</t>
  </si>
  <si>
    <t>101343</t>
  </si>
  <si>
    <t>ORJ 52, UZ 893</t>
  </si>
  <si>
    <t>ORJ 52, UZ 893/894</t>
  </si>
  <si>
    <t>9. Oblast životního prostředí</t>
  </si>
  <si>
    <t>akce zajišťované odborem strategického rozvoje kraje</t>
  </si>
  <si>
    <t>Oblast životního prostředí</t>
  </si>
  <si>
    <t>Oblast životního prostředí celkem</t>
  </si>
  <si>
    <t xml:space="preserve"> - oblast životního prostředí</t>
  </si>
  <si>
    <t>akce zajišťované odborem investic a odborem strategického rozvoje kraje</t>
  </si>
  <si>
    <t>ORJ 59, UZ 106515011</t>
  </si>
  <si>
    <t>ORJ 19 UZ 880/883</t>
  </si>
  <si>
    <t>Revolving KB (600)</t>
  </si>
  <si>
    <t>Úvěr KB (100)</t>
  </si>
  <si>
    <r>
      <t>Rozpočet OK</t>
    </r>
    <r>
      <rPr>
        <b/>
        <sz val="8"/>
        <rFont val="Arial"/>
        <family val="2"/>
        <charset val="238"/>
      </rPr>
      <t xml:space="preserve"> (bez dotace)</t>
    </r>
  </si>
  <si>
    <t>ORJ 17, UZ 898</t>
  </si>
  <si>
    <t>hrazené z úvěru PPF (200 mil. Kč)</t>
  </si>
  <si>
    <t>hrazené z revolvingu KB (600 mil. Kč)</t>
  </si>
  <si>
    <t>hrazené z úvěru KB (100 mil. Kč)</t>
  </si>
  <si>
    <t>PPF</t>
  </si>
  <si>
    <t>Zapojení PPF</t>
  </si>
  <si>
    <t>Úvěr KB (100 mil. Kč)</t>
  </si>
  <si>
    <t>Revolving KB (600 mil. Kč)</t>
  </si>
  <si>
    <t>REÚO Gymnázium Jakuba Škody, Přerov - přístavba GJŠ II. v Havlíčkově ulici - a) zateplení</t>
  </si>
  <si>
    <t>REÚO Střední škola a Základní škola Lipník nad Bečvou - přístavby školy + oprava fasády přední části budovy - a) zateplení</t>
  </si>
  <si>
    <t>REÚO Střední škola gastronomie a služeb, Přerov - budova tělocvičny - a) zateplení</t>
  </si>
  <si>
    <t>Realizace energeticky úsporných opatření – SŠ technická a zemědělská Mohelnice b) vzduchotechnika</t>
  </si>
  <si>
    <t>Hotelová škola Vincenze Priessnitze, Jeseník, Dukelská 680 - Zateplení budovy Kord b) vzduchotechnika</t>
  </si>
  <si>
    <t>Střední škola logistiky a chemie, Olomouc, U Hradiska 29 - Zateplení budovy školy b) vzduchotechnika</t>
  </si>
  <si>
    <t>Základní umělecká škola  Iši Krejčího Olomouc, Na Vozovce 32 - Výměna oken a zateplení pláště budov b) vzduchotechnika</t>
  </si>
  <si>
    <t>Realizace energeticky úsporných opatření - SPŠ elektrotechnická Mohelnice - škola, dílny b) vzduchotechnika</t>
  </si>
  <si>
    <t>REÚO – OA Mohelnice – budovy internátu a jídelna</t>
  </si>
  <si>
    <t>REÚO Gymnázium Jakuba Škody, Přerov - přístavba GJŠ II. v Havlíčkově ulici – b) vzduchotechnika</t>
  </si>
  <si>
    <t>Střední průmyslová škola stavební, Lipník nad Bečvou – Nová technologie a regulace kotelny</t>
  </si>
  <si>
    <t>PPP a SPC Olomouckého kraje - zvýšení kvality služeb a kapacity centra - PPP Jeseník</t>
  </si>
  <si>
    <t>SŠ, ZŠ a MŠ Prostějov, Komenského 10 - Bezbariérové užívání objektu ZŠ</t>
  </si>
  <si>
    <t>ZŠ Šternberk, Olomoucká 76 - Green Class</t>
  </si>
  <si>
    <t>Transformace příspěvkové organizace Nové Zámky – poskytovatel sociálních služeb - III.etapa - RD Litovel, ul. Pavlínka 1141</t>
  </si>
  <si>
    <t xml:space="preserve">Transformace příspěvkové organizace Nové Zámky – poskytovatel sociálních služeb - III.etapa - RD Červenka 338, </t>
  </si>
  <si>
    <t xml:space="preserve">Transformace příspěvkové organizace Nové Zámky – poskytovatel sociálních služeb - III.etapa - RD Červenka 361, </t>
  </si>
  <si>
    <t>Transformace příspěvkové organizace Nové Zámky – poskytovatel sociálních služeb - III.etapa - Litovel, Rybníček 44</t>
  </si>
  <si>
    <t>Transformace příspěvkové organizace Nové Zámky – poskytovatel sociálních služeb - III.etapa - Litovel, Rybníček 45</t>
  </si>
  <si>
    <t>Transformace příspěvkové organizace Nové Zámky – poskytovatel sociálních služeb - IV.etapa - novostavba RD Zábřeh, Malá Strana</t>
  </si>
  <si>
    <t>Podpora rozvoje cestovního ruchu v Olomouckém kraji</t>
  </si>
  <si>
    <t>SMN a. s. – o. z. Nemocnice Šternberk – REÚO – Domov sester</t>
  </si>
  <si>
    <t>SMN a. s. – o. z. Nemocnice Šternberk – Parkovací plochy</t>
  </si>
  <si>
    <t>Střední škola zemědělská a zahradnická, U Hradiska 4, Olomouc</t>
  </si>
  <si>
    <t>oblast životního prostředí</t>
  </si>
  <si>
    <t>SMN a.s. - o.z. Nemocnice Prostějov - Zřízení oddělení hospicové péče</t>
  </si>
  <si>
    <t>Opravy a investice Olomouckého kraje 2019</t>
  </si>
  <si>
    <t>101167</t>
  </si>
  <si>
    <t>101337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</si>
  <si>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</si>
  <si>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</si>
  <si>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</si>
  <si>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</si>
  <si>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</si>
  <si>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</si>
  <si>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</si>
  <si>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</si>
  <si>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101412</t>
  </si>
  <si>
    <t>101413</t>
  </si>
  <si>
    <t>101414</t>
  </si>
  <si>
    <t>101415</t>
  </si>
  <si>
    <t>101426</t>
  </si>
  <si>
    <t>1637</t>
  </si>
  <si>
    <t>1649</t>
  </si>
  <si>
    <t>Odkup nemovitostí z vlastnictví Univerzity Palackého v Olomouci do vlastnictví Olomouckého kraje</t>
  </si>
  <si>
    <t xml:space="preserve">Nabytí pozemku v k.ú. Čechy pod Kosířem do hospodaření Vlastivědného muzea v Olomouci </t>
  </si>
  <si>
    <t>Odkupu pozemku v k.ú. Nová Ulice, obec Olomouc, do vlastnictví Olomouckého kraje, hospodaření Zdravotnické záchranné služby Olomouckého kraje</t>
  </si>
  <si>
    <t>6. Investiční výdaje odborů</t>
  </si>
  <si>
    <t>Střední průmyslová škola oděvní, Prostějov, Vápenice 1 -Domov mládeže Palečkova 1, Prostějov - stavební úpravy školy</t>
  </si>
  <si>
    <t>Střední škola polytechnická, Olomouc - Rekonstrukce domova mládeže</t>
  </si>
  <si>
    <t>Střední škola zemědělská, Přerov – Osmek – Vybudování zázemí pro odborný výcvik</t>
  </si>
  <si>
    <t>Střední průmyslová škola strojnická, tř. 17 listopadu 49, Olomouc – rekonstrukce vodovodu</t>
  </si>
  <si>
    <t>Střední průmyslová škola a Střední odborné učiliště Uničov - Tělocvična</t>
  </si>
  <si>
    <t>Střední průmyslová škola Jeseník, Dukelská 1240 - Kotelna v areálu dílen odborné výuky</t>
  </si>
  <si>
    <t>Střední průmyslová škola Jeseník, Dukelská 1240 - Rekonstrukce rozvodů areálu dílen praktické výuky</t>
  </si>
  <si>
    <t>Střední odborná škola a Střední odborné učiliště strojírenské a stavební, Jeseník, Dukelská 1240 - Výměna výtahu v budově dílen odborné výuky</t>
  </si>
  <si>
    <t>Střední škola gastronomie a farmářství Jeseník - Zázemí tělocvičny školy -  pracoviště  Horní Heřmanice</t>
  </si>
  <si>
    <t>Střední škola gastronomie a farmářství Jeseník - Rekonstrukce kotelny</t>
  </si>
  <si>
    <t>Základní škola a Mateřská škola logopedická Olomouc -  Koridor školy a átrium</t>
  </si>
  <si>
    <t>Základní škola Šternberk, Olomoucká 76 - Zateplení budovy a instalace řízeného větrání - a) zateplení</t>
  </si>
  <si>
    <t>Základní škola Uničov, Šternberská 35 - Elektroinstalace</t>
  </si>
  <si>
    <t>Základní škola Uničov, Šternberská 35 - Rekonstrukce střechy</t>
  </si>
  <si>
    <t>Gymnázium, Olomouc, Čajkovského 9 - Podlaha tělocvičny</t>
  </si>
  <si>
    <t xml:space="preserve">Vyšší odborná škola a Střední průmyslová škola elektrotechnická, Olomouc, Božetěchova 3 - Systémová regulace a ovládání vytápění </t>
  </si>
  <si>
    <t>Vyšší odborná škola a Střední průmyslová škola elektrotechnická, Olomouc, Božetěchova 3 - Rekonstrukce šaten střední školy</t>
  </si>
  <si>
    <t>Vyšší odborná škola a Střední průmyslová škola elektrotechnická, Olomouc, Božetěchova 3 - Rekonstrukce školní jídelny</t>
  </si>
  <si>
    <t>Střední zdravotnická škola a Vyšší odborná škola zdravotnická Emanuela Pöttinga a Jazyková škola s právem státní jazykové zkoušky Olomouc - Rekonstrukce střechy nad tělocvičnou</t>
  </si>
  <si>
    <t>Sigmundova střední škola strojírenská, Lutín - Sociální zařízení DM 2. etapa</t>
  </si>
  <si>
    <t>Sigmundova střední škola strojírenská, Lutín - Rekonstrukce sociálního zázemí školy</t>
  </si>
  <si>
    <t xml:space="preserve">Střední škola polygrafická, Olomouc, Střední novosadská 87/53 - Rekonstrukci šaten v budově teoretické výuky v 1.NP </t>
  </si>
  <si>
    <t xml:space="preserve">Střední odborná škola obchodu a služeb, Olomouc, Štursova 14 - Rekonstrukce sportovního areálu </t>
  </si>
  <si>
    <t>Střední odborná škola lesnická a strojírenská Šternberk - Realizace úsporných opatření budov Opavská 8</t>
  </si>
  <si>
    <t>Gymnázium, Hranice, Zborovská 293 - Výměna oken a zateplení fasády na přístavbě školy</t>
  </si>
  <si>
    <t>Gymnázium, Kojetín, Svatopluka Čecha 683 - Školní hřiště</t>
  </si>
  <si>
    <t>Střední průmyslová škola, Přerov, Havlíčkova 2 - Modernizace odborných učeben fyziky</t>
  </si>
  <si>
    <t xml:space="preserve">Střední průmyslová škola, Přerov, Havlíčkova 2 - Střecha - severní část budovy SPŠ Přerov </t>
  </si>
  <si>
    <t xml:space="preserve">Střední průmyslová škola, Přerov, Havlíčkova 2 - Výměna oken v budově "B" </t>
  </si>
  <si>
    <t xml:space="preserve">Střední průmyslová škola, Přerov, Havlíčkova 2 - Výměna rozvodů elektrické energie v budově "B" </t>
  </si>
  <si>
    <t>Střední škola gastronomie a služeb, Přerov, Šířava 7 - Školní hřiště</t>
  </si>
  <si>
    <t>Gymnázium Jana Blahoslava a Střední pedagogická škola, Přerov, Denisova 3 - Rekonstrukce venkovního sportovního areálu</t>
  </si>
  <si>
    <t>Střední škola zemědělská, Přerov, Osmek 47 - Komunikace v areálu školy - 2. etapa</t>
  </si>
  <si>
    <t>Střední škola zemědělská, Přerov, Osmek 47 - Výměna oken a vstupních dveří v hlavní budově školy</t>
  </si>
  <si>
    <t>Střední škola elektrotechnická, Lipník nad Bečvou, Tyršova 781 - Zateplení domova mládeže</t>
  </si>
  <si>
    <t>Střední škola technická, Přerov, Kouřílkova 8 - Rekonstrukce sociálního zařízení TV2</t>
  </si>
  <si>
    <t>Odborné učiliště a Základní škola, Křenovice - Sociální zařízení na školní zahradě</t>
  </si>
  <si>
    <t xml:space="preserve">Střední škola, Základní škola a Mateřská škola Prostějov, Komenského 10 - Rekonstrukce stávajících sociálních zařízení </t>
  </si>
  <si>
    <t>Obchodní akademie, Prostějov, Palackého 18 - Odizolování budovy proti vlhkosti</t>
  </si>
  <si>
    <t>Střední škola, Základní škola a Mateřská škola Šumperk, Hanácká 3 - Rekonstrukce elektroinstalace</t>
  </si>
  <si>
    <t>Střední škola, Základní škola a Mateřská škola Šumperk, Hanácká 3 - Oprava střechy</t>
  </si>
  <si>
    <t xml:space="preserve">Střední škola, Základní škola, Mateřská škola a Dětský domov Zábřeh - Vybudování sportovního hřiště </t>
  </si>
  <si>
    <t xml:space="preserve">Gymnázium, Šumperk, Masarykovo náměstí 8 - Plynová kotelna </t>
  </si>
  <si>
    <t>Vyšší odborná škola a Střední průmyslová škola, Šumperk, Gen. Krátkého 1 - Rozšíření a výměna datové sítě a silnoproudých rozvodů</t>
  </si>
  <si>
    <t>Vyšší odborná škola a Střední průmyslová škola, Šumperk, Gen. Krátkého 1 - Rekonstrukce Domova mládeže U Sanatoria 1</t>
  </si>
  <si>
    <t>Střední průmyslová škola elektrotechnická, Mohelnice, Gen. Svobody 2 - Elektroinstalace na budově II</t>
  </si>
  <si>
    <t>Střední odborná škola, Šumperk, Zemědělská 3 - Rekonstrukce střechy nad jídelnou</t>
  </si>
  <si>
    <t>Střední zdravotnická škola, Šumperk, Kladská 2 - Domov mládeže</t>
  </si>
  <si>
    <t>Střední škola technická a zemědělská Mohelnice - Výstavba nových dílen</t>
  </si>
  <si>
    <t>Střední škola sociální péče a služeb, Zábřeh, nám. 8. května 2 - Oprava budovy praktického vyučování</t>
  </si>
  <si>
    <t>Slovanské gymnázium, Olomouc, tř. Jiřího z Poděbrad 13 - Změna tělocvičny na víceúčelový sál</t>
  </si>
  <si>
    <t>Střední odborná škola, Šumperk, Zemědělská 3 – venkovní kanalizace</t>
  </si>
  <si>
    <t>Střední průmyslová škola Hranice – oprava střechy sportovní haly</t>
  </si>
  <si>
    <t>Transformace příspěvkové organizace Nové Zámky - poskytovatel sociálních služeb - II.etapa - novostavba RD Drahanovice</t>
  </si>
  <si>
    <t>Domov Hrubá Voda, příspěvková organizace - Výměna výtahu</t>
  </si>
  <si>
    <t>Centrum sociálních služeb Prostějov, p.o. - Výměna výtahu SO-02</t>
  </si>
  <si>
    <t>Centrum Dominika Kokory, příspěvková organizace - Přístupová cesta na zahradu</t>
  </si>
  <si>
    <t>Centrum Dominika Kokory, příspěvková organizace - Výměna nákladního výtahu na pracovišti Dřevohostice</t>
  </si>
  <si>
    <t>Domov pro seniory Červenka, příspěvková organizace - Přístavba - oddělení Litovel</t>
  </si>
  <si>
    <t>Domov Štíty-Jedlí, příspěvková organizace - Klimatizace</t>
  </si>
  <si>
    <t xml:space="preserve">Domov Větrný mlýn Skalička, příspěvková organizace - Opravy stropů </t>
  </si>
  <si>
    <t>Centrum Dominika Kokory, příspěvková organizace - Celková rekonstrukce plynofikovaných NTK - Kokory</t>
  </si>
  <si>
    <t>Domov Větrný mlýn Skalička, příspěvková organizace - Rekonstrukce střechy a půdních prostor</t>
  </si>
  <si>
    <t>Domov Štíty-Jedlí, příspěvková organizace - Rekonstrukce a přístavba Domova Štíty</t>
  </si>
  <si>
    <t>Domov u Třebůvky Loštice, příspěvková organizace - Oprava kanalizace</t>
  </si>
  <si>
    <t>Domov pro seniory Javorník - Novostavba Kobylá nad Vidnávkou</t>
  </si>
  <si>
    <t>Centrum Dominika Kokory, příspěvková organizace - Celková rekonstrukce plynofikovaných NTK – Dřevohostice</t>
  </si>
  <si>
    <t xml:space="preserve">Muzeum a galerie v Prostějově - Přístavba depozitáře </t>
  </si>
  <si>
    <t>Vědecká knihovna v Olomouci - Rekonstrukce kotelny Holická</t>
  </si>
  <si>
    <t>Vlastivědné muzeum Jesenicka - Rekonstrukce Vodní tvrze</t>
  </si>
  <si>
    <t>Dub - Tovačov, stavební úpravy (křižovatka s II/150 po křižovatku do Tovačova do II/435)</t>
  </si>
  <si>
    <t>II/369 Ostružná – Branná – rekonstrukce komunikace</t>
  </si>
  <si>
    <t>III/44429 Šternberk, Hvězdné údolí, II. etapa</t>
  </si>
  <si>
    <t>Cyklostezky Olomouckého kraje</t>
  </si>
  <si>
    <t>Cyklostezky Olomouckého kraje - 06 Horní Lipová - Ramzová - Ostružná</t>
  </si>
  <si>
    <t>OLÚ Paseka – hospodaření se srážkovými vodami (Paseka)</t>
  </si>
  <si>
    <t>OLÚ Paseka – hospodaření se srážkovými vodami (Moravský Beroun)</t>
  </si>
  <si>
    <t xml:space="preserve"> - HorizonView (virtualizace) + podpora, micro station, bentley systems, získání finanční pomoci při řešení krizových situací a následné obnovy, technické zhodnocení DNHM</t>
  </si>
  <si>
    <t xml:space="preserve"> - Pořízení serverů, k zajištění provozu virtuálních pracovních stanic a serverů</t>
  </si>
  <si>
    <t xml:space="preserve"> - Příčky v budově RCO, Připrava na zateplení budovy KÚOK, Úprava schodiště před budovou KÚOK, Stavební úprava vstupu do budovy KÚOK, Nákup osobních vozidel</t>
  </si>
  <si>
    <t>ORJ 52, UZ 15, 17, 23</t>
  </si>
  <si>
    <t>ORJ 59, UZ 88x</t>
  </si>
  <si>
    <t>ORJ 59, UZ 89x</t>
  </si>
  <si>
    <t>ORJ 50, UZ 89x</t>
  </si>
  <si>
    <t>ORJ 59, UZ 101515011</t>
  </si>
  <si>
    <t>ORJ 19 UZ 88x</t>
  </si>
  <si>
    <t>Přehled financování oprav a investic PO v roce 2019</t>
  </si>
  <si>
    <t>ORJ 12, UZ 88x</t>
  </si>
  <si>
    <t>ORJ 59, UZ 17055</t>
  </si>
  <si>
    <t>ORJ 59, UZ 106515974</t>
  </si>
  <si>
    <t>REÚO Střední škola a Základní škola Lipník nad Bečvou - přístavba školy + oprava fasády přední části budovy - b) vzduchotechnika</t>
  </si>
  <si>
    <t>REÚO Střední škola gastronomie a služeb, Přerov - budova tělocvičny - b) vzduchotechnika</t>
  </si>
  <si>
    <t>SŠ, ZŠ, MŠ a DD Zábřeh - bezbariérový přístup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</si>
  <si>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</si>
  <si>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</si>
  <si>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Olomouc, U Sportovní haly 1a</t>
  </si>
  <si>
    <t>PPP a SPC Olomouckého kraje - zvýšení kvality služeb a kapacity centra - PPP Přerov</t>
  </si>
  <si>
    <t>PPP a SPC Olomouckého kraje - zvýšení kvality služeb a kapacity centra - PPP Šumperk</t>
  </si>
  <si>
    <t>DDM Olomouc – REÚO budovy Jánského 1</t>
  </si>
  <si>
    <t>Pořízení strojního vybavení a zajištění bezbariérovosti na OU a PrŠ Lipová-lázně</t>
  </si>
  <si>
    <t>Podpora rozvoje cestovního ruchu v Olomouckém kraji II</t>
  </si>
  <si>
    <t>Podpora biodiverzity v Olomouckém kraji - péče o vybrané evropsky významné lokality</t>
  </si>
  <si>
    <t>Hospodaření se srážkovými vodami v intravilánu příspěvkových organizací Olomouckého kraje II</t>
  </si>
  <si>
    <t>Hospodaření se srážkovými vodami v intravilánu příspěvkových organizací Olomouckého kraje III</t>
  </si>
  <si>
    <t>SMN a.s. - o.z. Nemocnice Šternberk – demolice betonového límce</t>
  </si>
  <si>
    <t>Základní škola, Olomoucká 76/2098, Šternberk</t>
  </si>
  <si>
    <t>Základní škola, Dětský domov a Školní jídelna, Palackého 938, Litovel</t>
  </si>
  <si>
    <t>Slovanské gymnázium, tř. J. z Poděbrad 13,  Olomouc</t>
  </si>
  <si>
    <t>Gymnázium, Tomkova 45, 779 00 Olomouc - Hejčín</t>
  </si>
  <si>
    <t>Gymnázium Jiřího Wolkera, Kollárova 3,  Prostějov</t>
  </si>
  <si>
    <t>Gymnázium Jakuba Škody, Komenského 29,  Přerov</t>
  </si>
  <si>
    <t xml:space="preserve">Gymnázium, náměstí Osvobození 20,   Zábřeh </t>
  </si>
  <si>
    <t>Gymnázium, Komenského 281, 790 01 Jeseník</t>
  </si>
  <si>
    <t>Střední průmyslová škola stavební, Komenského sady 257, Lipník nad Bečvou</t>
  </si>
  <si>
    <t>Střední škola gastronomie a služeb, Šířava 7, Přerov</t>
  </si>
  <si>
    <t>Vyšší odborná škola a Střední škola automobilní, U Dráhy 827/6, Zábřeh</t>
  </si>
  <si>
    <t>Střední průmyslová škola elektrotechnická a Obchodní akademie Mohelnice, Gen. Svobody 2, Mohelnice</t>
  </si>
  <si>
    <t>Střední průmyslová škola, Dukelská 1240, Jeseník</t>
  </si>
  <si>
    <t>Obchodní akademie, tř. Spojenců 11, Olomouc</t>
  </si>
  <si>
    <t>Střední škola technická a obchodní, Kosinova 4, Olomouc</t>
  </si>
  <si>
    <t>Střední odborná škola Prostějov, nám. Edmunda  Husserla 30/1, Prostějov</t>
  </si>
  <si>
    <t>Základní umělecká škola, nám. Svobody 15, Mohelnice</t>
  </si>
  <si>
    <t>Dětský domov a Školní jídelna, Purgešova 847, Hranice</t>
  </si>
  <si>
    <t>Střední škola, Základní škola a Mateřská škola Lipník nad Bečvou, Osecká 301</t>
  </si>
  <si>
    <t>Vyšší odborná škola a Střední průmyslová škola elektrotechnická, Božetěchova 3, Olomouc</t>
  </si>
  <si>
    <t>Střední škola elektrotechnická, Tyršova 781, Lipník nad Bečvou</t>
  </si>
  <si>
    <t>Střední odborná škola, Komenského 677, Litovel</t>
  </si>
  <si>
    <t>Střední škola řezbářská, Nádražní 146, Tovačov</t>
  </si>
  <si>
    <t>Odborné učiliště a Základní škola, Křenovice, Křenovice, č.p. 8</t>
  </si>
  <si>
    <t>Základní umělecká škola Iši Krejčího, Na Vozovce 32/246, Olomouc</t>
  </si>
  <si>
    <t>Základní umělecká škola, Hanusíkova 197, Kojetín</t>
  </si>
  <si>
    <t>Dětský domov Šance, U sportovní haly 1a/544, Olomouc</t>
  </si>
  <si>
    <t>Dětský domov a Školní jídelna, Černá Voda 1</t>
  </si>
  <si>
    <t>Domov  Hrubá Voda, Hrubá Voda  11, Hlubočky</t>
  </si>
  <si>
    <t>Domov u Třebůvky Loštice, Hradská 113, Loštice</t>
  </si>
  <si>
    <t>Dětské centrum Ostrůvek, U dětského domova 269, Olomouc</t>
  </si>
  <si>
    <t>101403</t>
  </si>
  <si>
    <t>Centrum sociálních služeb Prostějov, p.o. - Rekonstrukce budov pro pečovatelskou službu</t>
  </si>
  <si>
    <t>Transformace příspěvkové organizace Nové Zámky - poskytovatel sociálních služeb - II.etapa - novostavba RD Měrotín</t>
  </si>
  <si>
    <t xml:space="preserve"> - nákup fotostěny FLEXI ONE, Technický automobil pro technické zásahy – 2 ks, Digitalizace Olomouc region Card</t>
  </si>
  <si>
    <t>bez DPH</t>
  </si>
  <si>
    <t>ORJ 19 UZ 123</t>
  </si>
  <si>
    <t>Střední škola technická, Přerov, Kouřílkova 8 - Energeticky úsporná opatření - tělocvična - a) zateplení</t>
  </si>
  <si>
    <t>8. Přehled financování oprav a investic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</si>
</sst>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FFC000"/>
      <name val="Arial"/>
      <family val="2"/>
      <charset val="238"/>
    </font>
    <font>
      <b/>
      <i/>
      <sz val="10"/>
      <color rgb="FFFFC00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i/>
      <sz val="10"/>
      <color theme="4" tint="-0.499984740745262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theme="3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theme="3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i/>
      <sz val="10"/>
      <color rgb="FFFFFF0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1" applyAlignment="1">
      <alignment horizontal="right"/>
    </xf>
    <xf numFmtId="4" fontId="4" fillId="0" borderId="0" xfId="1" applyNumberFormat="1"/>
    <xf numFmtId="0" fontId="4" fillId="0" borderId="0" xfId="1"/>
    <xf numFmtId="0" fontId="7" fillId="0" borderId="0" xfId="1" applyFont="1"/>
    <xf numFmtId="0" fontId="4" fillId="0" borderId="0" xfId="1" applyBorder="1"/>
    <xf numFmtId="0" fontId="7" fillId="0" borderId="14" xfId="1" applyFont="1" applyBorder="1"/>
    <xf numFmtId="0" fontId="4" fillId="0" borderId="14" xfId="1" applyBorder="1"/>
    <xf numFmtId="0" fontId="4" fillId="0" borderId="14" xfId="1" applyBorder="1" applyAlignment="1">
      <alignment horizontal="right"/>
    </xf>
    <xf numFmtId="0" fontId="4" fillId="0" borderId="7" xfId="1" applyBorder="1"/>
    <xf numFmtId="4" fontId="1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0" fontId="3" fillId="0" borderId="15" xfId="1" applyFont="1" applyBorder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4" fontId="3" fillId="0" borderId="1" xfId="1" applyNumberFormat="1" applyFont="1" applyBorder="1"/>
    <xf numFmtId="4" fontId="3" fillId="0" borderId="0" xfId="1" applyNumberFormat="1" applyFont="1" applyBorder="1"/>
    <xf numFmtId="0" fontId="4" fillId="0" borderId="0" xfId="1" applyFont="1"/>
    <xf numFmtId="0" fontId="9" fillId="0" borderId="0" xfId="1" applyFont="1" applyBorder="1" applyAlignment="1">
      <alignment horizontal="left"/>
    </xf>
    <xf numFmtId="0" fontId="17" fillId="0" borderId="15" xfId="1" applyFont="1" applyBorder="1" applyAlignment="1">
      <alignment horizontal="left"/>
    </xf>
    <xf numFmtId="4" fontId="17" fillId="0" borderId="4" xfId="1" applyNumberFormat="1" applyFont="1" applyBorder="1"/>
    <xf numFmtId="0" fontId="17" fillId="0" borderId="0" xfId="1" applyFont="1"/>
    <xf numFmtId="0" fontId="20" fillId="0" borderId="0" xfId="1" applyFont="1"/>
    <xf numFmtId="0" fontId="21" fillId="0" borderId="0" xfId="1" applyFont="1"/>
    <xf numFmtId="0" fontId="7" fillId="0" borderId="0" xfId="1" applyFont="1" applyFill="1" applyAlignment="1">
      <alignment horizontal="left"/>
    </xf>
    <xf numFmtId="0" fontId="22" fillId="0" borderId="0" xfId="1" applyFont="1" applyFill="1"/>
    <xf numFmtId="4" fontId="22" fillId="0" borderId="0" xfId="1" applyNumberFormat="1" applyFont="1" applyFill="1"/>
    <xf numFmtId="0" fontId="4" fillId="0" borderId="0" xfId="1" applyFill="1"/>
    <xf numFmtId="0" fontId="3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4" fillId="0" borderId="0" xfId="1" applyFont="1" applyFill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22" fillId="0" borderId="0" xfId="1" applyFont="1"/>
    <xf numFmtId="0" fontId="9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8" fillId="0" borderId="7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/>
    </xf>
    <xf numFmtId="4" fontId="4" fillId="0" borderId="1" xfId="1" applyNumberFormat="1" applyFill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/>
    <xf numFmtId="0" fontId="2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" fontId="11" fillId="2" borderId="0" xfId="1" applyNumberFormat="1" applyFont="1" applyFill="1" applyBorder="1" applyAlignment="1">
      <alignment horizontal="right" vertical="center"/>
    </xf>
    <xf numFmtId="4" fontId="10" fillId="2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4" fillId="0" borderId="0" xfId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22" fillId="0" borderId="0" xfId="1" applyFont="1" applyBorder="1"/>
    <xf numFmtId="0" fontId="9" fillId="2" borderId="0" xfId="1" applyFont="1" applyFill="1" applyBorder="1" applyAlignment="1">
      <alignment horizontal="left" vertical="center"/>
    </xf>
    <xf numFmtId="164" fontId="12" fillId="0" borderId="5" xfId="1" applyNumberFormat="1" applyFont="1" applyFill="1" applyBorder="1" applyAlignment="1">
      <alignment vertical="center"/>
    </xf>
    <xf numFmtId="0" fontId="23" fillId="0" borderId="0" xfId="1" applyFont="1"/>
    <xf numFmtId="0" fontId="10" fillId="0" borderId="0" xfId="1" applyFont="1"/>
    <xf numFmtId="0" fontId="8" fillId="2" borderId="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4" fontId="3" fillId="2" borderId="8" xfId="1" applyNumberFormat="1" applyFont="1" applyFill="1" applyBorder="1" applyAlignment="1">
      <alignment vertical="center"/>
    </xf>
    <xf numFmtId="164" fontId="15" fillId="0" borderId="8" xfId="1" applyNumberFormat="1" applyFont="1" applyFill="1" applyBorder="1" applyAlignment="1">
      <alignment vertical="center"/>
    </xf>
    <xf numFmtId="0" fontId="24" fillId="0" borderId="0" xfId="1" applyFont="1"/>
    <xf numFmtId="0" fontId="10" fillId="0" borderId="0" xfId="1" applyFont="1" applyBorder="1"/>
    <xf numFmtId="4" fontId="10" fillId="0" borderId="0" xfId="1" applyNumberFormat="1" applyFont="1" applyBorder="1"/>
    <xf numFmtId="4" fontId="9" fillId="0" borderId="13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left"/>
    </xf>
    <xf numFmtId="4" fontId="10" fillId="0" borderId="0" xfId="1" applyNumberFormat="1" applyFont="1" applyFill="1" applyBorder="1"/>
    <xf numFmtId="164" fontId="14" fillId="0" borderId="0" xfId="1" applyNumberFormat="1" applyFont="1" applyFill="1" applyBorder="1"/>
    <xf numFmtId="0" fontId="15" fillId="0" borderId="8" xfId="1" applyFont="1" applyFill="1" applyBorder="1" applyAlignment="1">
      <alignment horizontal="left"/>
    </xf>
    <xf numFmtId="4" fontId="12" fillId="0" borderId="8" xfId="1" applyNumberFormat="1" applyFont="1" applyFill="1" applyBorder="1"/>
    <xf numFmtId="164" fontId="12" fillId="0" borderId="8" xfId="1" applyNumberFormat="1" applyFont="1" applyFill="1" applyBorder="1"/>
    <xf numFmtId="164" fontId="9" fillId="0" borderId="5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ill="1"/>
    <xf numFmtId="0" fontId="4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18" fillId="0" borderId="0" xfId="1" applyFont="1" applyFill="1" applyAlignment="1">
      <alignment horizontal="left"/>
    </xf>
    <xf numFmtId="0" fontId="2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3" fontId="10" fillId="0" borderId="0" xfId="1" applyNumberFormat="1" applyFont="1" applyFill="1" applyBorder="1" applyAlignment="1">
      <alignment horizontal="left" vertical="center"/>
    </xf>
    <xf numFmtId="0" fontId="4" fillId="4" borderId="0" xfId="1" applyFont="1" applyFill="1" applyAlignment="1">
      <alignment horizontal="left"/>
    </xf>
    <xf numFmtId="3" fontId="4" fillId="0" borderId="0" xfId="1" applyNumberFormat="1" applyFont="1" applyFill="1" applyAlignment="1">
      <alignment horizontal="left"/>
    </xf>
    <xf numFmtId="0" fontId="4" fillId="0" borderId="0" xfId="1" applyFont="1" applyAlignment="1">
      <alignment horizontal="left"/>
    </xf>
    <xf numFmtId="4" fontId="25" fillId="0" borderId="0" xfId="1" applyNumberFormat="1" applyFont="1" applyBorder="1"/>
    <xf numFmtId="0" fontId="10" fillId="0" borderId="0" xfId="1" applyFont="1" applyFill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/>
    </xf>
    <xf numFmtId="0" fontId="26" fillId="0" borderId="0" xfId="1" applyFont="1" applyFill="1" applyBorder="1" applyAlignment="1">
      <alignment horizontal="center"/>
    </xf>
    <xf numFmtId="4" fontId="22" fillId="0" borderId="0" xfId="1" applyNumberFormat="1" applyFont="1"/>
    <xf numFmtId="0" fontId="4" fillId="5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6" borderId="0" xfId="1" applyFont="1" applyFill="1" applyAlignment="1">
      <alignment horizontal="left"/>
    </xf>
    <xf numFmtId="0" fontId="4" fillId="7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7" fillId="6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25" fillId="0" borderId="0" xfId="1" applyFont="1"/>
    <xf numFmtId="0" fontId="30" fillId="0" borderId="0" xfId="1" applyFont="1"/>
    <xf numFmtId="0" fontId="31" fillId="0" borderId="0" xfId="1" applyFont="1"/>
    <xf numFmtId="4" fontId="9" fillId="0" borderId="10" xfId="1" applyNumberFormat="1" applyFont="1" applyFill="1" applyBorder="1" applyAlignment="1">
      <alignment horizontal="right" vertical="center"/>
    </xf>
    <xf numFmtId="0" fontId="10" fillId="2" borderId="0" xfId="3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/>
    </xf>
    <xf numFmtId="0" fontId="4" fillId="9" borderId="0" xfId="2" applyNumberFormat="1" applyFont="1" applyFill="1" applyBorder="1" applyAlignment="1">
      <alignment horizontal="center" vertical="center" wrapText="1"/>
    </xf>
    <xf numFmtId="0" fontId="35" fillId="9" borderId="0" xfId="0" applyFont="1" applyFill="1"/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" fontId="9" fillId="0" borderId="0" xfId="0" applyNumberFormat="1" applyFont="1" applyFill="1"/>
    <xf numFmtId="4" fontId="37" fillId="0" borderId="0" xfId="0" applyNumberFormat="1" applyFont="1" applyFill="1"/>
    <xf numFmtId="4" fontId="28" fillId="0" borderId="0" xfId="0" applyNumberFormat="1" applyFont="1" applyFill="1"/>
    <xf numFmtId="0" fontId="36" fillId="0" borderId="0" xfId="1" applyFont="1"/>
    <xf numFmtId="4" fontId="36" fillId="0" borderId="0" xfId="1" applyNumberFormat="1" applyFont="1"/>
    <xf numFmtId="0" fontId="39" fillId="0" borderId="0" xfId="1" applyFont="1"/>
    <xf numFmtId="4" fontId="8" fillId="0" borderId="0" xfId="1" applyNumberFormat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/>
    </xf>
    <xf numFmtId="4" fontId="4" fillId="0" borderId="0" xfId="1" applyNumberFormat="1" applyFill="1" applyBorder="1" applyAlignment="1">
      <alignment horizontal="center" vertical="center"/>
    </xf>
    <xf numFmtId="0" fontId="27" fillId="0" borderId="0" xfId="1" applyFont="1" applyBorder="1" applyAlignment="1">
      <alignment vertical="center"/>
    </xf>
    <xf numFmtId="4" fontId="4" fillId="0" borderId="0" xfId="1" applyNumberFormat="1" applyFont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4" fontId="10" fillId="0" borderId="9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4" fontId="10" fillId="0" borderId="14" xfId="1" applyNumberFormat="1" applyFont="1" applyFill="1" applyBorder="1" applyAlignment="1">
      <alignment vertical="center"/>
    </xf>
    <xf numFmtId="4" fontId="10" fillId="0" borderId="4" xfId="1" applyNumberFormat="1" applyFont="1" applyFill="1" applyBorder="1"/>
    <xf numFmtId="4" fontId="10" fillId="0" borderId="9" xfId="1" applyNumberFormat="1" applyFont="1" applyFill="1" applyBorder="1"/>
    <xf numFmtId="4" fontId="11" fillId="0" borderId="0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left" vertical="center"/>
    </xf>
    <xf numFmtId="0" fontId="35" fillId="9" borderId="0" xfId="0" applyFont="1" applyFill="1" applyAlignment="1">
      <alignment vertical="center"/>
    </xf>
    <xf numFmtId="4" fontId="37" fillId="10" borderId="0" xfId="0" applyNumberFormat="1" applyFont="1" applyFill="1" applyAlignment="1">
      <alignment vertical="center"/>
    </xf>
    <xf numFmtId="4" fontId="9" fillId="0" borderId="0" xfId="1" applyNumberFormat="1" applyFont="1"/>
    <xf numFmtId="4" fontId="4" fillId="0" borderId="0" xfId="1" applyNumberFormat="1" applyAlignment="1">
      <alignment vertical="center"/>
    </xf>
    <xf numFmtId="0" fontId="33" fillId="0" borderId="0" xfId="1" applyFont="1"/>
    <xf numFmtId="0" fontId="36" fillId="0" borderId="0" xfId="1" applyFont="1" applyAlignment="1">
      <alignment vertical="center"/>
    </xf>
    <xf numFmtId="0" fontId="40" fillId="0" borderId="0" xfId="1" applyFont="1" applyAlignment="1">
      <alignment vertical="center"/>
    </xf>
    <xf numFmtId="0" fontId="40" fillId="0" borderId="0" xfId="1" applyFont="1"/>
    <xf numFmtId="0" fontId="43" fillId="0" borderId="0" xfId="1" applyFont="1"/>
    <xf numFmtId="0" fontId="7" fillId="2" borderId="0" xfId="1" applyFont="1" applyFill="1" applyBorder="1" applyAlignment="1">
      <alignment vertical="center" wrapText="1"/>
    </xf>
    <xf numFmtId="4" fontId="3" fillId="2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right"/>
    </xf>
    <xf numFmtId="0" fontId="9" fillId="0" borderId="17" xfId="1" applyFont="1" applyFill="1" applyBorder="1" applyAlignment="1">
      <alignment horizontal="left" vertical="center"/>
    </xf>
    <xf numFmtId="164" fontId="12" fillId="0" borderId="11" xfId="1" applyNumberFormat="1" applyFont="1" applyFill="1" applyBorder="1" applyAlignment="1">
      <alignment vertical="center"/>
    </xf>
    <xf numFmtId="0" fontId="10" fillId="0" borderId="0" xfId="1" applyFont="1" applyFill="1" applyBorder="1"/>
    <xf numFmtId="0" fontId="10" fillId="0" borderId="15" xfId="1" applyFont="1" applyFill="1" applyBorder="1"/>
    <xf numFmtId="4" fontId="10" fillId="0" borderId="5" xfId="1" applyNumberFormat="1" applyFont="1" applyFill="1" applyBorder="1"/>
    <xf numFmtId="0" fontId="3" fillId="0" borderId="15" xfId="1" applyFont="1" applyFill="1" applyBorder="1"/>
    <xf numFmtId="4" fontId="6" fillId="0" borderId="4" xfId="1" applyNumberFormat="1" applyFont="1" applyFill="1" applyBorder="1"/>
    <xf numFmtId="4" fontId="6" fillId="0" borderId="5" xfId="1" applyNumberFormat="1" applyFont="1" applyFill="1" applyBorder="1"/>
    <xf numFmtId="0" fontId="3" fillId="0" borderId="15" xfId="1" applyFont="1" applyFill="1" applyBorder="1" applyAlignment="1">
      <alignment wrapText="1"/>
    </xf>
    <xf numFmtId="4" fontId="6" fillId="0" borderId="4" xfId="1" applyNumberFormat="1" applyFont="1" applyFill="1" applyBorder="1" applyAlignment="1">
      <alignment vertical="center"/>
    </xf>
    <xf numFmtId="0" fontId="17" fillId="0" borderId="15" xfId="1" applyFont="1" applyFill="1" applyBorder="1" applyAlignment="1">
      <alignment horizontal="left"/>
    </xf>
    <xf numFmtId="4" fontId="17" fillId="0" borderId="4" xfId="1" applyNumberFormat="1" applyFont="1" applyFill="1" applyBorder="1"/>
    <xf numFmtId="4" fontId="6" fillId="0" borderId="0" xfId="1" applyNumberFormat="1" applyFont="1" applyFill="1"/>
    <xf numFmtId="4" fontId="28" fillId="0" borderId="0" xfId="1" applyNumberFormat="1" applyFont="1" applyFill="1"/>
    <xf numFmtId="4" fontId="40" fillId="0" borderId="0" xfId="1" applyNumberFormat="1" applyFont="1"/>
    <xf numFmtId="4" fontId="38" fillId="0" borderId="0" xfId="1" applyNumberFormat="1" applyFont="1" applyFill="1"/>
    <xf numFmtId="4" fontId="35" fillId="0" borderId="0" xfId="0" applyNumberFormat="1" applyFont="1" applyFill="1"/>
    <xf numFmtId="4" fontId="26" fillId="0" borderId="0" xfId="0" applyNumberFormat="1" applyFont="1" applyFill="1"/>
    <xf numFmtId="4" fontId="6" fillId="0" borderId="0" xfId="1" applyNumberFormat="1" applyFont="1"/>
    <xf numFmtId="4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10" fillId="0" borderId="0" xfId="1" applyFont="1" applyFill="1" applyBorder="1" applyAlignment="1">
      <alignment vertical="center" wrapText="1"/>
    </xf>
    <xf numFmtId="0" fontId="10" fillId="0" borderId="18" xfId="1" applyFont="1" applyFill="1" applyBorder="1" applyAlignment="1">
      <alignment horizontal="left" vertical="center" wrapText="1"/>
    </xf>
    <xf numFmtId="4" fontId="46" fillId="2" borderId="0" xfId="1" applyNumberFormat="1" applyFont="1" applyFill="1"/>
    <xf numFmtId="4" fontId="41" fillId="2" borderId="0" xfId="1" applyNumberFormat="1" applyFont="1" applyFill="1"/>
    <xf numFmtId="0" fontId="10" fillId="0" borderId="18" xfId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right"/>
    </xf>
    <xf numFmtId="4" fontId="6" fillId="0" borderId="5" xfId="1" applyNumberFormat="1" applyFont="1" applyFill="1" applyBorder="1" applyAlignment="1">
      <alignment vertical="center"/>
    </xf>
    <xf numFmtId="4" fontId="22" fillId="0" borderId="0" xfId="1" applyNumberFormat="1" applyFont="1" applyFill="1" applyAlignment="1">
      <alignment vertical="center"/>
    </xf>
    <xf numFmtId="4" fontId="22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top"/>
    </xf>
    <xf numFmtId="4" fontId="28" fillId="0" borderId="0" xfId="0" applyNumberFormat="1" applyFont="1" applyFill="1" applyAlignment="1">
      <alignment vertical="top"/>
    </xf>
    <xf numFmtId="4" fontId="29" fillId="0" borderId="0" xfId="0" applyNumberFormat="1" applyFont="1" applyFill="1"/>
    <xf numFmtId="0" fontId="33" fillId="0" borderId="0" xfId="1" applyFont="1" applyBorder="1"/>
    <xf numFmtId="164" fontId="10" fillId="0" borderId="21" xfId="1" applyNumberFormat="1" applyFont="1" applyFill="1" applyBorder="1" applyAlignment="1">
      <alignment vertical="center"/>
    </xf>
    <xf numFmtId="0" fontId="10" fillId="0" borderId="21" xfId="1" applyFont="1" applyFill="1" applyBorder="1" applyAlignment="1">
      <alignment horizontal="left" vertical="center" wrapText="1"/>
    </xf>
    <xf numFmtId="4" fontId="10" fillId="0" borderId="21" xfId="1" applyNumberFormat="1" applyFont="1" applyFill="1" applyBorder="1" applyAlignment="1">
      <alignment horizontal="right" vertical="center"/>
    </xf>
    <xf numFmtId="4" fontId="2" fillId="0" borderId="0" xfId="1" applyNumberFormat="1" applyFont="1"/>
    <xf numFmtId="0" fontId="4" fillId="8" borderId="0" xfId="1" applyFont="1" applyFill="1" applyAlignment="1">
      <alignment horizontal="left"/>
    </xf>
    <xf numFmtId="0" fontId="35" fillId="8" borderId="0" xfId="0" applyFont="1" applyFill="1"/>
    <xf numFmtId="4" fontId="22" fillId="8" borderId="0" xfId="1" applyNumberFormat="1" applyFont="1" applyFill="1"/>
    <xf numFmtId="0" fontId="4" fillId="8" borderId="0" xfId="1" applyFill="1"/>
    <xf numFmtId="0" fontId="22" fillId="8" borderId="0" xfId="1" applyFont="1" applyFill="1"/>
    <xf numFmtId="0" fontId="4" fillId="8" borderId="0" xfId="1" applyFont="1" applyFill="1"/>
    <xf numFmtId="0" fontId="4" fillId="8" borderId="0" xfId="1" applyFont="1" applyFill="1" applyAlignment="1">
      <alignment horizontal="left" vertical="center"/>
    </xf>
    <xf numFmtId="0" fontId="8" fillId="8" borderId="7" xfId="1" applyFont="1" applyFill="1" applyBorder="1" applyAlignment="1">
      <alignment horizontal="center" vertical="center"/>
    </xf>
    <xf numFmtId="4" fontId="8" fillId="8" borderId="1" xfId="1" applyNumberFormat="1" applyFont="1" applyFill="1" applyBorder="1" applyAlignment="1">
      <alignment horizontal="center" vertical="center" wrapText="1"/>
    </xf>
    <xf numFmtId="0" fontId="4" fillId="8" borderId="2" xfId="1" applyFill="1" applyBorder="1" applyAlignment="1">
      <alignment horizontal="center" vertical="center"/>
    </xf>
    <xf numFmtId="4" fontId="4" fillId="8" borderId="1" xfId="1" applyNumberFormat="1" applyFill="1" applyBorder="1" applyAlignment="1">
      <alignment horizontal="center" vertical="center"/>
    </xf>
    <xf numFmtId="0" fontId="4" fillId="8" borderId="3" xfId="1" applyFill="1" applyBorder="1" applyAlignment="1">
      <alignment horizontal="center" vertical="center"/>
    </xf>
    <xf numFmtId="0" fontId="4" fillId="8" borderId="0" xfId="1" applyFill="1" applyBorder="1"/>
    <xf numFmtId="164" fontId="10" fillId="8" borderId="0" xfId="1" applyNumberFormat="1" applyFont="1" applyFill="1" applyBorder="1" applyAlignment="1">
      <alignment vertical="center"/>
    </xf>
    <xf numFmtId="0" fontId="5" fillId="8" borderId="0" xfId="1" applyFont="1" applyFill="1" applyBorder="1" applyAlignment="1">
      <alignment horizontal="left"/>
    </xf>
    <xf numFmtId="0" fontId="22" fillId="8" borderId="0" xfId="1" applyFont="1" applyFill="1" applyBorder="1"/>
    <xf numFmtId="0" fontId="9" fillId="8" borderId="0" xfId="1" applyFont="1" applyFill="1" applyBorder="1" applyAlignment="1">
      <alignment horizontal="left" vertical="center"/>
    </xf>
    <xf numFmtId="0" fontId="2" fillId="8" borderId="0" xfId="1" applyFont="1" applyFill="1" applyAlignment="1">
      <alignment horizontal="right"/>
    </xf>
    <xf numFmtId="0" fontId="9" fillId="8" borderId="17" xfId="1" applyFont="1" applyFill="1" applyBorder="1" applyAlignment="1">
      <alignment horizontal="left" vertical="center"/>
    </xf>
    <xf numFmtId="164" fontId="12" fillId="8" borderId="11" xfId="1" applyNumberFormat="1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0" fontId="5" fillId="8" borderId="0" xfId="1" applyFont="1" applyFill="1" applyAlignment="1">
      <alignment horizontal="left"/>
    </xf>
    <xf numFmtId="4" fontId="22" fillId="8" borderId="0" xfId="1" applyNumberFormat="1" applyFont="1" applyFill="1" applyBorder="1"/>
    <xf numFmtId="0" fontId="9" fillId="8" borderId="0" xfId="1" applyFont="1" applyFill="1" applyAlignment="1">
      <alignment horizontal="left"/>
    </xf>
    <xf numFmtId="0" fontId="4" fillId="8" borderId="0" xfId="1" applyFont="1" applyFill="1" applyAlignment="1">
      <alignment horizontal="right"/>
    </xf>
    <xf numFmtId="0" fontId="26" fillId="8" borderId="0" xfId="1" applyFont="1" applyFill="1" applyAlignment="1">
      <alignment horizontal="center"/>
    </xf>
    <xf numFmtId="0" fontId="39" fillId="8" borderId="0" xfId="1" applyFont="1" applyFill="1"/>
    <xf numFmtId="0" fontId="9" fillId="8" borderId="15" xfId="1" applyFont="1" applyFill="1" applyBorder="1" applyAlignment="1">
      <alignment horizontal="left" vertical="center"/>
    </xf>
    <xf numFmtId="4" fontId="9" fillId="8" borderId="4" xfId="1" applyNumberFormat="1" applyFont="1" applyFill="1" applyBorder="1" applyAlignment="1">
      <alignment horizontal="right" vertical="center"/>
    </xf>
    <xf numFmtId="164" fontId="9" fillId="8" borderId="5" xfId="1" applyNumberFormat="1" applyFont="1" applyFill="1" applyBorder="1" applyAlignment="1">
      <alignment vertical="center"/>
    </xf>
    <xf numFmtId="0" fontId="6" fillId="8" borderId="0" xfId="1" applyFont="1" applyFill="1" applyBorder="1" applyAlignment="1">
      <alignment horizontal="center" vertical="center"/>
    </xf>
    <xf numFmtId="0" fontId="36" fillId="8" borderId="0" xfId="1" applyFont="1" applyFill="1"/>
    <xf numFmtId="4" fontId="35" fillId="0" borderId="0" xfId="1" applyNumberFormat="1" applyFont="1"/>
    <xf numFmtId="0" fontId="10" fillId="0" borderId="22" xfId="1" applyFont="1" applyFill="1" applyBorder="1" applyAlignment="1">
      <alignment horizontal="left" vertical="center" wrapText="1"/>
    </xf>
    <xf numFmtId="4" fontId="10" fillId="0" borderId="23" xfId="1" applyNumberFormat="1" applyFont="1" applyFill="1" applyBorder="1" applyAlignment="1">
      <alignment vertical="center"/>
    </xf>
    <xf numFmtId="4" fontId="11" fillId="0" borderId="24" xfId="1" applyNumberFormat="1" applyFont="1" applyFill="1" applyBorder="1" applyAlignment="1">
      <alignment horizontal="right" vertical="center"/>
    </xf>
    <xf numFmtId="164" fontId="10" fillId="0" borderId="25" xfId="1" applyNumberFormat="1" applyFont="1" applyFill="1" applyBorder="1" applyAlignment="1">
      <alignment vertical="center"/>
    </xf>
    <xf numFmtId="4" fontId="11" fillId="0" borderId="23" xfId="1" applyNumberFormat="1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vertical="center" wrapText="1"/>
    </xf>
    <xf numFmtId="0" fontId="10" fillId="0" borderId="26" xfId="1" applyFont="1" applyFill="1" applyBorder="1" applyAlignment="1">
      <alignment vertical="center" wrapText="1"/>
    </xf>
    <xf numFmtId="4" fontId="11" fillId="0" borderId="27" xfId="1" applyNumberFormat="1" applyFont="1" applyFill="1" applyBorder="1" applyAlignment="1">
      <alignment horizontal="right" vertical="center"/>
    </xf>
    <xf numFmtId="164" fontId="10" fillId="0" borderId="28" xfId="1" applyNumberFormat="1" applyFont="1" applyFill="1" applyBorder="1" applyAlignment="1">
      <alignment vertical="center"/>
    </xf>
    <xf numFmtId="4" fontId="10" fillId="0" borderId="29" xfId="1" applyNumberFormat="1" applyFont="1" applyFill="1" applyBorder="1" applyAlignment="1">
      <alignment vertical="center"/>
    </xf>
    <xf numFmtId="0" fontId="10" fillId="0" borderId="22" xfId="1" applyFont="1" applyFill="1" applyBorder="1" applyAlignment="1">
      <alignment wrapText="1"/>
    </xf>
    <xf numFmtId="0" fontId="10" fillId="0" borderId="26" xfId="1" applyFont="1" applyFill="1" applyBorder="1" applyAlignment="1">
      <alignment wrapText="1"/>
    </xf>
    <xf numFmtId="0" fontId="10" fillId="8" borderId="22" xfId="1" applyFont="1" applyFill="1" applyBorder="1"/>
    <xf numFmtId="4" fontId="10" fillId="8" borderId="29" xfId="1" applyNumberFormat="1" applyFont="1" applyFill="1" applyBorder="1" applyAlignment="1">
      <alignment horizontal="right"/>
    </xf>
    <xf numFmtId="4" fontId="10" fillId="8" borderId="23" xfId="1" applyNumberFormat="1" applyFont="1" applyFill="1" applyBorder="1" applyAlignment="1">
      <alignment horizontal="right"/>
    </xf>
    <xf numFmtId="164" fontId="10" fillId="8" borderId="25" xfId="1" applyNumberFormat="1" applyFont="1" applyFill="1" applyBorder="1" applyAlignment="1">
      <alignment vertical="center"/>
    </xf>
    <xf numFmtId="0" fontId="10" fillId="8" borderId="22" xfId="1" applyFont="1" applyFill="1" applyBorder="1" applyAlignment="1">
      <alignment vertical="top" wrapText="1" shrinkToFit="1"/>
    </xf>
    <xf numFmtId="0" fontId="10" fillId="8" borderId="22" xfId="1" applyFont="1" applyFill="1" applyBorder="1" applyAlignment="1">
      <alignment vertical="center" wrapText="1"/>
    </xf>
    <xf numFmtId="4" fontId="10" fillId="8" borderId="29" xfId="1" applyNumberFormat="1" applyFont="1" applyFill="1" applyBorder="1" applyAlignment="1">
      <alignment horizontal="right" vertical="center"/>
    </xf>
    <xf numFmtId="0" fontId="10" fillId="8" borderId="26" xfId="1" applyFont="1" applyFill="1" applyBorder="1" applyAlignment="1">
      <alignment vertical="center" wrapText="1"/>
    </xf>
    <xf numFmtId="164" fontId="10" fillId="8" borderId="28" xfId="1" applyNumberFormat="1" applyFont="1" applyFill="1" applyBorder="1" applyAlignment="1">
      <alignment vertical="center"/>
    </xf>
    <xf numFmtId="0" fontId="10" fillId="0" borderId="22" xfId="1" applyFont="1" applyFill="1" applyBorder="1"/>
    <xf numFmtId="4" fontId="10" fillId="0" borderId="23" xfId="1" applyNumberFormat="1" applyFont="1" applyFill="1" applyBorder="1" applyAlignment="1">
      <alignment horizontal="right"/>
    </xf>
    <xf numFmtId="0" fontId="7" fillId="0" borderId="0" xfId="6" applyFont="1" applyFill="1" applyAlignment="1">
      <alignment horizontal="left"/>
    </xf>
    <xf numFmtId="3" fontId="2" fillId="0" borderId="0" xfId="6" applyNumberFormat="1" applyFont="1" applyFill="1" applyAlignment="1">
      <alignment horizontal="left"/>
    </xf>
    <xf numFmtId="0" fontId="22" fillId="0" borderId="0" xfId="6" applyFont="1" applyFill="1"/>
    <xf numFmtId="4" fontId="22" fillId="0" borderId="0" xfId="6" applyNumberFormat="1" applyFont="1" applyFill="1"/>
    <xf numFmtId="0" fontId="2" fillId="0" borderId="0" xfId="6" applyFill="1"/>
    <xf numFmtId="0" fontId="3" fillId="0" borderId="0" xfId="6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2" fillId="0" borderId="0" xfId="6" applyFont="1" applyFill="1"/>
    <xf numFmtId="0" fontId="2" fillId="0" borderId="0" xfId="6"/>
    <xf numFmtId="0" fontId="5" fillId="0" borderId="0" xfId="6" applyFont="1" applyFill="1" applyAlignment="1">
      <alignment horizontal="left"/>
    </xf>
    <xf numFmtId="0" fontId="2" fillId="0" borderId="0" xfId="6" applyFont="1" applyAlignment="1">
      <alignment horizontal="left"/>
    </xf>
    <xf numFmtId="0" fontId="22" fillId="0" borderId="0" xfId="6" applyFont="1"/>
    <xf numFmtId="0" fontId="7" fillId="0" borderId="0" xfId="6" applyFont="1" applyFill="1" applyBorder="1" applyAlignment="1">
      <alignment horizontal="left"/>
    </xf>
    <xf numFmtId="0" fontId="9" fillId="0" borderId="0" xfId="6" applyFont="1" applyFill="1" applyAlignment="1">
      <alignment horizontal="left"/>
    </xf>
    <xf numFmtId="0" fontId="2" fillId="0" borderId="0" xfId="6" applyAlignment="1">
      <alignment horizontal="right"/>
    </xf>
    <xf numFmtId="0" fontId="2" fillId="0" borderId="0" xfId="6" applyFont="1" applyFill="1" applyAlignment="1">
      <alignment horizontal="right"/>
    </xf>
    <xf numFmtId="0" fontId="8" fillId="0" borderId="7" xfId="6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 vertical="center" wrapText="1"/>
    </xf>
    <xf numFmtId="0" fontId="2" fillId="0" borderId="2" xfId="6" applyFill="1" applyBorder="1" applyAlignment="1">
      <alignment horizontal="center" vertical="center"/>
    </xf>
    <xf numFmtId="4" fontId="2" fillId="0" borderId="1" xfId="6" applyNumberFormat="1" applyFill="1" applyBorder="1" applyAlignment="1">
      <alignment horizontal="center" vertical="center"/>
    </xf>
    <xf numFmtId="0" fontId="2" fillId="0" borderId="3" xfId="6" applyFill="1" applyBorder="1" applyAlignment="1">
      <alignment horizontal="center" vertical="center"/>
    </xf>
    <xf numFmtId="0" fontId="9" fillId="0" borderId="15" xfId="6" applyFont="1" applyFill="1" applyBorder="1" applyAlignment="1">
      <alignment horizontal="left" vertical="center"/>
    </xf>
    <xf numFmtId="4" fontId="9" fillId="0" borderId="4" xfId="6" applyNumberFormat="1" applyFont="1" applyFill="1" applyBorder="1" applyAlignment="1">
      <alignment horizontal="right" vertical="center"/>
    </xf>
    <xf numFmtId="164" fontId="9" fillId="0" borderId="5" xfId="6" applyNumberFormat="1" applyFont="1" applyFill="1" applyBorder="1"/>
    <xf numFmtId="0" fontId="22" fillId="0" borderId="0" xfId="6" applyFont="1" applyBorder="1"/>
    <xf numFmtId="4" fontId="8" fillId="0" borderId="0" xfId="6" applyNumberFormat="1" applyFont="1" applyFill="1" applyBorder="1" applyAlignment="1">
      <alignment horizontal="center" vertical="center" wrapText="1"/>
    </xf>
    <xf numFmtId="0" fontId="2" fillId="0" borderId="0" xfId="6" applyFill="1" applyBorder="1" applyAlignment="1">
      <alignment horizontal="center" vertical="center"/>
    </xf>
    <xf numFmtId="4" fontId="2" fillId="0" borderId="0" xfId="6" applyNumberFormat="1" applyFill="1" applyBorder="1" applyAlignment="1">
      <alignment horizontal="center" vertical="center"/>
    </xf>
    <xf numFmtId="164" fontId="10" fillId="0" borderId="5" xfId="6" applyNumberFormat="1" applyFont="1" applyFill="1" applyBorder="1" applyAlignment="1">
      <alignment vertical="center"/>
    </xf>
    <xf numFmtId="0" fontId="40" fillId="0" borderId="0" xfId="6" applyFont="1"/>
    <xf numFmtId="164" fontId="10" fillId="0" borderId="33" xfId="6" applyNumberFormat="1" applyFont="1" applyFill="1" applyBorder="1" applyAlignment="1">
      <alignment vertical="center"/>
    </xf>
    <xf numFmtId="164" fontId="10" fillId="0" borderId="36" xfId="6" applyNumberFormat="1" applyFont="1" applyFill="1" applyBorder="1" applyAlignment="1">
      <alignment vertical="center"/>
    </xf>
    <xf numFmtId="0" fontId="2" fillId="0" borderId="0" xfId="6" applyFont="1" applyAlignment="1">
      <alignment horizontal="left" vertical="center"/>
    </xf>
    <xf numFmtId="0" fontId="40" fillId="0" borderId="0" xfId="6" applyFont="1" applyAlignment="1">
      <alignment vertical="center"/>
    </xf>
    <xf numFmtId="0" fontId="2" fillId="0" borderId="0" xfId="6" applyFont="1" applyFill="1" applyAlignment="1">
      <alignment horizontal="left" vertical="center"/>
    </xf>
    <xf numFmtId="0" fontId="22" fillId="0" borderId="0" xfId="6" applyFont="1" applyFill="1" applyAlignment="1">
      <alignment vertical="center"/>
    </xf>
    <xf numFmtId="4" fontId="9" fillId="0" borderId="0" xfId="6" applyNumberFormat="1" applyFont="1" applyFill="1"/>
    <xf numFmtId="0" fontId="2" fillId="0" borderId="0" xfId="6" applyFont="1" applyFill="1" applyAlignment="1">
      <alignment vertical="center"/>
    </xf>
    <xf numFmtId="0" fontId="22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4" fontId="22" fillId="0" borderId="0" xfId="6" applyNumberFormat="1" applyFont="1" applyAlignment="1">
      <alignment vertical="center"/>
    </xf>
    <xf numFmtId="0" fontId="43" fillId="0" borderId="0" xfId="6" applyFont="1"/>
    <xf numFmtId="164" fontId="10" fillId="0" borderId="6" xfId="6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vertical="center" wrapText="1"/>
    </xf>
    <xf numFmtId="4" fontId="10" fillId="0" borderId="0" xfId="6" applyNumberFormat="1" applyFont="1" applyFill="1" applyBorder="1" applyAlignment="1">
      <alignment vertical="center"/>
    </xf>
    <xf numFmtId="4" fontId="11" fillId="0" borderId="0" xfId="6" applyNumberFormat="1" applyFont="1" applyFill="1" applyBorder="1" applyAlignment="1">
      <alignment horizontal="right" vertical="center"/>
    </xf>
    <xf numFmtId="164" fontId="10" fillId="0" borderId="0" xfId="6" applyNumberFormat="1" applyFont="1" applyFill="1" applyBorder="1" applyAlignment="1">
      <alignment vertical="center"/>
    </xf>
    <xf numFmtId="0" fontId="9" fillId="2" borderId="14" xfId="6" applyFont="1" applyFill="1" applyBorder="1" applyAlignment="1">
      <alignment horizontal="left" vertical="center"/>
    </xf>
    <xf numFmtId="0" fontId="2" fillId="0" borderId="14" xfId="6" applyBorder="1"/>
    <xf numFmtId="0" fontId="2" fillId="0" borderId="14" xfId="6" applyBorder="1" applyAlignment="1">
      <alignment horizontal="right"/>
    </xf>
    <xf numFmtId="0" fontId="2" fillId="0" borderId="14" xfId="6" applyFont="1" applyFill="1" applyBorder="1" applyAlignment="1">
      <alignment horizontal="right"/>
    </xf>
    <xf numFmtId="164" fontId="12" fillId="0" borderId="5" xfId="6" applyNumberFormat="1" applyFont="1" applyFill="1" applyBorder="1" applyAlignment="1">
      <alignment vertical="center"/>
    </xf>
    <xf numFmtId="0" fontId="26" fillId="0" borderId="0" xfId="6" applyFont="1" applyFill="1" applyAlignment="1">
      <alignment vertical="center"/>
    </xf>
    <xf numFmtId="0" fontId="23" fillId="0" borderId="0" xfId="6" applyFont="1"/>
    <xf numFmtId="0" fontId="10" fillId="0" borderId="0" xfId="6" applyFont="1"/>
    <xf numFmtId="164" fontId="9" fillId="0" borderId="5" xfId="6" applyNumberFormat="1" applyFont="1" applyFill="1" applyBorder="1" applyAlignment="1">
      <alignment vertical="center"/>
    </xf>
    <xf numFmtId="0" fontId="2" fillId="2" borderId="0" xfId="6" applyFill="1"/>
    <xf numFmtId="0" fontId="26" fillId="0" borderId="0" xfId="6" applyFont="1" applyFill="1" applyBorder="1" applyAlignment="1">
      <alignment horizontal="center"/>
    </xf>
    <xf numFmtId="0" fontId="2" fillId="9" borderId="0" xfId="8" applyNumberFormat="1" applyFont="1" applyFill="1" applyBorder="1" applyAlignment="1">
      <alignment horizontal="center" vertical="center" wrapText="1"/>
    </xf>
    <xf numFmtId="0" fontId="35" fillId="9" borderId="0" xfId="6" applyFont="1" applyFill="1"/>
    <xf numFmtId="0" fontId="10" fillId="2" borderId="0" xfId="7" applyFont="1" applyFill="1" applyBorder="1" applyAlignment="1">
      <alignment vertical="center" wrapText="1"/>
    </xf>
    <xf numFmtId="4" fontId="10" fillId="2" borderId="0" xfId="6" applyNumberFormat="1" applyFont="1" applyFill="1" applyBorder="1" applyAlignment="1">
      <alignment vertical="center"/>
    </xf>
    <xf numFmtId="4" fontId="41" fillId="0" borderId="0" xfId="6" applyNumberFormat="1" applyFont="1" applyFill="1"/>
    <xf numFmtId="0" fontId="26" fillId="0" borderId="0" xfId="6" applyFont="1" applyFill="1" applyAlignment="1">
      <alignment vertical="top"/>
    </xf>
    <xf numFmtId="4" fontId="28" fillId="0" borderId="0" xfId="6" applyNumberFormat="1" applyFont="1" applyFill="1" applyAlignment="1">
      <alignment vertical="top"/>
    </xf>
    <xf numFmtId="0" fontId="7" fillId="2" borderId="8" xfId="6" applyFont="1" applyFill="1" applyBorder="1" applyAlignment="1">
      <alignment vertical="center" wrapText="1"/>
    </xf>
    <xf numFmtId="4" fontId="3" fillId="2" borderId="8" xfId="6" applyNumberFormat="1" applyFont="1" applyFill="1" applyBorder="1" applyAlignment="1">
      <alignment vertical="center"/>
    </xf>
    <xf numFmtId="164" fontId="15" fillId="0" borderId="8" xfId="6" applyNumberFormat="1" applyFont="1" applyFill="1" applyBorder="1" applyAlignment="1">
      <alignment vertical="center"/>
    </xf>
    <xf numFmtId="0" fontId="7" fillId="4" borderId="0" xfId="6" applyFont="1" applyFill="1" applyAlignment="1">
      <alignment horizontal="left"/>
    </xf>
    <xf numFmtId="0" fontId="24" fillId="0" borderId="0" xfId="6" applyFont="1"/>
    <xf numFmtId="0" fontId="7" fillId="0" borderId="0" xfId="6" applyFont="1"/>
    <xf numFmtId="0" fontId="8" fillId="2" borderId="0" xfId="6" applyFont="1" applyFill="1" applyBorder="1" applyAlignment="1">
      <alignment vertical="center" wrapText="1"/>
    </xf>
    <xf numFmtId="3" fontId="11" fillId="2" borderId="0" xfId="6" applyNumberFormat="1" applyFont="1" applyFill="1" applyBorder="1" applyAlignment="1">
      <alignment horizontal="right" vertical="center"/>
    </xf>
    <xf numFmtId="4" fontId="11" fillId="2" borderId="0" xfId="6" applyNumberFormat="1" applyFont="1" applyFill="1" applyBorder="1" applyAlignment="1">
      <alignment horizontal="right" vertical="center"/>
    </xf>
    <xf numFmtId="3" fontId="10" fillId="0" borderId="0" xfId="6" applyNumberFormat="1" applyFont="1" applyFill="1" applyBorder="1" applyAlignment="1">
      <alignment horizontal="left"/>
    </xf>
    <xf numFmtId="49" fontId="2" fillId="0" borderId="0" xfId="6" applyNumberFormat="1" applyFont="1" applyFill="1" applyBorder="1" applyAlignment="1">
      <alignment horizontal="left" vertical="center"/>
    </xf>
    <xf numFmtId="0" fontId="2" fillId="0" borderId="0" xfId="6" applyFont="1"/>
    <xf numFmtId="4" fontId="11" fillId="0" borderId="32" xfId="6" applyNumberFormat="1" applyFont="1" applyFill="1" applyBorder="1" applyAlignment="1">
      <alignment horizontal="right" vertical="center"/>
    </xf>
    <xf numFmtId="4" fontId="11" fillId="0" borderId="35" xfId="6" applyNumberFormat="1" applyFont="1" applyFill="1" applyBorder="1" applyAlignment="1">
      <alignment horizontal="right" vertical="center"/>
    </xf>
    <xf numFmtId="4" fontId="22" fillId="0" borderId="0" xfId="6" applyNumberFormat="1" applyFont="1"/>
    <xf numFmtId="3" fontId="10" fillId="0" borderId="0" xfId="6" applyNumberFormat="1" applyFont="1" applyFill="1" applyBorder="1" applyAlignment="1">
      <alignment horizontal="left" vertical="center"/>
    </xf>
    <xf numFmtId="0" fontId="22" fillId="0" borderId="0" xfId="6" applyFont="1" applyBorder="1" applyAlignment="1">
      <alignment vertical="center"/>
    </xf>
    <xf numFmtId="0" fontId="2" fillId="0" borderId="0" xfId="6" applyBorder="1" applyAlignment="1">
      <alignment vertical="center"/>
    </xf>
    <xf numFmtId="0" fontId="9" fillId="0" borderId="17" xfId="6" applyFont="1" applyFill="1" applyBorder="1" applyAlignment="1">
      <alignment horizontal="left" vertical="center"/>
    </xf>
    <xf numFmtId="4" fontId="9" fillId="0" borderId="10" xfId="6" applyNumberFormat="1" applyFont="1" applyFill="1" applyBorder="1" applyAlignment="1">
      <alignment horizontal="right" vertical="center"/>
    </xf>
    <xf numFmtId="164" fontId="12" fillId="0" borderId="11" xfId="6" applyNumberFormat="1" applyFont="1" applyFill="1" applyBorder="1" applyAlignment="1">
      <alignment vertical="center"/>
    </xf>
    <xf numFmtId="0" fontId="40" fillId="0" borderId="0" xfId="6" applyFont="1" applyFill="1"/>
    <xf numFmtId="0" fontId="45" fillId="0" borderId="0" xfId="6" applyFont="1"/>
    <xf numFmtId="4" fontId="44" fillId="0" borderId="0" xfId="6" applyNumberFormat="1" applyFont="1" applyFill="1"/>
    <xf numFmtId="4" fontId="28" fillId="0" borderId="0" xfId="6" applyNumberFormat="1" applyFont="1" applyFill="1"/>
    <xf numFmtId="0" fontId="2" fillId="0" borderId="0" xfId="6" applyBorder="1"/>
    <xf numFmtId="0" fontId="5" fillId="0" borderId="0" xfId="6" applyFont="1" applyFill="1" applyBorder="1" applyAlignment="1">
      <alignment horizontal="left"/>
    </xf>
    <xf numFmtId="4" fontId="10" fillId="0" borderId="32" xfId="6" applyNumberFormat="1" applyFont="1" applyFill="1" applyBorder="1" applyAlignment="1">
      <alignment horizontal="right" vertical="center"/>
    </xf>
    <xf numFmtId="0" fontId="2" fillId="0" borderId="0" xfId="6" applyFont="1" applyFill="1" applyAlignment="1">
      <alignment horizontal="left"/>
    </xf>
    <xf numFmtId="4" fontId="10" fillId="0" borderId="35" xfId="6" applyNumberFormat="1" applyFont="1" applyFill="1" applyBorder="1" applyAlignment="1">
      <alignment horizontal="right" vertical="center"/>
    </xf>
    <xf numFmtId="4" fontId="47" fillId="0" borderId="0" xfId="6" applyNumberFormat="1" applyFont="1"/>
    <xf numFmtId="0" fontId="10" fillId="0" borderId="0" xfId="6" applyFont="1" applyBorder="1"/>
    <xf numFmtId="4" fontId="10" fillId="0" borderId="0" xfId="6" applyNumberFormat="1" applyFont="1" applyFill="1" applyBorder="1" applyAlignment="1">
      <alignment horizontal="right"/>
    </xf>
    <xf numFmtId="4" fontId="10" fillId="0" borderId="4" xfId="6" applyNumberFormat="1" applyFont="1" applyFill="1" applyBorder="1" applyAlignment="1">
      <alignment horizontal="right"/>
    </xf>
    <xf numFmtId="4" fontId="25" fillId="0" borderId="0" xfId="6" applyNumberFormat="1" applyFont="1" applyBorder="1"/>
    <xf numFmtId="0" fontId="7" fillId="6" borderId="0" xfId="6" applyFont="1" applyFill="1" applyAlignment="1">
      <alignment horizontal="left"/>
    </xf>
    <xf numFmtId="0" fontId="7" fillId="2" borderId="0" xfId="6" applyFont="1" applyFill="1" applyBorder="1" applyAlignment="1">
      <alignment vertical="center" wrapText="1"/>
    </xf>
    <xf numFmtId="4" fontId="3" fillId="2" borderId="0" xfId="6" applyNumberFormat="1" applyFont="1" applyFill="1" applyBorder="1" applyAlignment="1">
      <alignment vertical="center"/>
    </xf>
    <xf numFmtId="164" fontId="15" fillId="0" borderId="0" xfId="6" applyNumberFormat="1" applyFont="1" applyFill="1" applyBorder="1" applyAlignment="1">
      <alignment vertical="center"/>
    </xf>
    <xf numFmtId="4" fontId="9" fillId="0" borderId="13" xfId="6" applyNumberFormat="1" applyFont="1" applyFill="1" applyBorder="1" applyAlignment="1">
      <alignment horizontal="right" vertical="center"/>
    </xf>
    <xf numFmtId="0" fontId="10" fillId="8" borderId="15" xfId="6" applyFont="1" applyFill="1" applyBorder="1" applyAlignment="1">
      <alignment vertical="center" wrapText="1"/>
    </xf>
    <xf numFmtId="164" fontId="10" fillId="8" borderId="5" xfId="6" applyNumberFormat="1" applyFont="1" applyFill="1" applyBorder="1" applyAlignment="1">
      <alignment vertical="center"/>
    </xf>
    <xf numFmtId="0" fontId="2" fillId="8" borderId="0" xfId="6" applyFont="1" applyFill="1" applyAlignment="1">
      <alignment horizontal="left" vertical="center"/>
    </xf>
    <xf numFmtId="0" fontId="34" fillId="8" borderId="0" xfId="6" applyFont="1" applyFill="1"/>
    <xf numFmtId="0" fontId="22" fillId="8" borderId="0" xfId="6" applyFont="1" applyFill="1"/>
    <xf numFmtId="0" fontId="2" fillId="8" borderId="0" xfId="6" applyFont="1" applyFill="1"/>
    <xf numFmtId="164" fontId="10" fillId="8" borderId="33" xfId="6" applyNumberFormat="1" applyFont="1" applyFill="1" applyBorder="1" applyAlignment="1">
      <alignment vertical="center"/>
    </xf>
    <xf numFmtId="164" fontId="10" fillId="8" borderId="36" xfId="6" applyNumberFormat="1" applyFont="1" applyFill="1" applyBorder="1" applyAlignment="1">
      <alignment vertical="center"/>
    </xf>
    <xf numFmtId="0" fontId="2" fillId="8" borderId="0" xfId="6" applyFont="1" applyFill="1" applyAlignment="1">
      <alignment horizontal="left"/>
    </xf>
    <xf numFmtId="0" fontId="2" fillId="8" borderId="0" xfId="6" applyFont="1" applyFill="1" applyAlignment="1">
      <alignment vertical="center"/>
    </xf>
    <xf numFmtId="164" fontId="10" fillId="8" borderId="6" xfId="6" applyNumberFormat="1" applyFont="1" applyFill="1" applyBorder="1" applyAlignment="1">
      <alignment vertical="center"/>
    </xf>
    <xf numFmtId="0" fontId="2" fillId="8" borderId="0" xfId="6" applyFill="1" applyBorder="1"/>
    <xf numFmtId="164" fontId="10" fillId="8" borderId="0" xfId="6" applyNumberFormat="1" applyFont="1" applyFill="1" applyBorder="1" applyAlignment="1">
      <alignment vertical="center"/>
    </xf>
    <xf numFmtId="0" fontId="5" fillId="8" borderId="0" xfId="6" applyFont="1" applyFill="1" applyBorder="1" applyAlignment="1">
      <alignment horizontal="left"/>
    </xf>
    <xf numFmtId="0" fontId="22" fillId="8" borderId="0" xfId="6" applyFont="1" applyFill="1" applyBorder="1"/>
    <xf numFmtId="0" fontId="9" fillId="8" borderId="0" xfId="6" applyFont="1" applyFill="1" applyBorder="1" applyAlignment="1">
      <alignment horizontal="left" vertical="center"/>
    </xf>
    <xf numFmtId="0" fontId="2" fillId="8" borderId="0" xfId="6" applyFill="1"/>
    <xf numFmtId="0" fontId="2" fillId="8" borderId="0" xfId="6" applyFont="1" applyFill="1" applyAlignment="1">
      <alignment horizontal="right"/>
    </xf>
    <xf numFmtId="0" fontId="8" fillId="8" borderId="7" xfId="6" applyFont="1" applyFill="1" applyBorder="1" applyAlignment="1">
      <alignment horizontal="center" vertical="center"/>
    </xf>
    <xf numFmtId="0" fontId="2" fillId="8" borderId="2" xfId="6" applyFill="1" applyBorder="1" applyAlignment="1">
      <alignment horizontal="center" vertical="center"/>
    </xf>
    <xf numFmtId="4" fontId="2" fillId="8" borderId="1" xfId="6" applyNumberFormat="1" applyFill="1" applyBorder="1" applyAlignment="1">
      <alignment horizontal="center" vertical="center"/>
    </xf>
    <xf numFmtId="0" fontId="2" fillId="8" borderId="3" xfId="6" applyFill="1" applyBorder="1" applyAlignment="1">
      <alignment horizontal="center" vertical="center"/>
    </xf>
    <xf numFmtId="0" fontId="9" fillId="8" borderId="17" xfId="6" applyFont="1" applyFill="1" applyBorder="1" applyAlignment="1">
      <alignment horizontal="left" vertical="center"/>
    </xf>
    <xf numFmtId="4" fontId="9" fillId="8" borderId="20" xfId="6" applyNumberFormat="1" applyFont="1" applyFill="1" applyBorder="1" applyAlignment="1">
      <alignment horizontal="right" vertical="center"/>
    </xf>
    <xf numFmtId="164" fontId="12" fillId="8" borderId="11" xfId="6" applyNumberFormat="1" applyFont="1" applyFill="1" applyBorder="1" applyAlignment="1">
      <alignment vertical="center"/>
    </xf>
    <xf numFmtId="0" fontId="26" fillId="8" borderId="0" xfId="6" applyFont="1" applyFill="1" applyAlignment="1">
      <alignment vertical="center"/>
    </xf>
    <xf numFmtId="0" fontId="10" fillId="8" borderId="0" xfId="6" applyFont="1" applyFill="1" applyBorder="1" applyAlignment="1">
      <alignment horizontal="left" vertical="center"/>
    </xf>
    <xf numFmtId="0" fontId="5" fillId="8" borderId="0" xfId="6" applyFont="1" applyFill="1" applyAlignment="1">
      <alignment horizontal="left"/>
    </xf>
    <xf numFmtId="4" fontId="6" fillId="0" borderId="0" xfId="6" applyNumberFormat="1" applyFont="1" applyFill="1"/>
    <xf numFmtId="0" fontId="7" fillId="3" borderId="0" xfId="6" applyFont="1" applyFill="1" applyAlignment="1">
      <alignment horizontal="left"/>
    </xf>
    <xf numFmtId="0" fontId="10" fillId="0" borderId="0" xfId="6" applyFont="1" applyAlignment="1">
      <alignment vertical="center"/>
    </xf>
    <xf numFmtId="0" fontId="42" fillId="0" borderId="0" xfId="6" applyFont="1"/>
    <xf numFmtId="0" fontId="10" fillId="0" borderId="34" xfId="6" applyFont="1" applyFill="1" applyBorder="1" applyAlignment="1">
      <alignment vertical="center" wrapText="1"/>
    </xf>
    <xf numFmtId="4" fontId="23" fillId="0" borderId="0" xfId="6" applyNumberFormat="1" applyFont="1" applyAlignment="1">
      <alignment vertical="center"/>
    </xf>
    <xf numFmtId="4" fontId="12" fillId="0" borderId="0" xfId="6" applyNumberFormat="1" applyFont="1" applyAlignment="1">
      <alignment vertical="center"/>
    </xf>
    <xf numFmtId="0" fontId="2" fillId="0" borderId="0" xfId="6" applyFill="1" applyAlignment="1">
      <alignment horizontal="right"/>
    </xf>
    <xf numFmtId="4" fontId="2" fillId="0" borderId="0" xfId="6" applyNumberFormat="1" applyFill="1" applyAlignment="1">
      <alignment horizontal="right"/>
    </xf>
    <xf numFmtId="0" fontId="8" fillId="0" borderId="19" xfId="6" applyFont="1" applyFill="1" applyBorder="1" applyAlignment="1">
      <alignment horizontal="center" vertical="center"/>
    </xf>
    <xf numFmtId="4" fontId="9" fillId="0" borderId="10" xfId="6" applyNumberFormat="1" applyFont="1" applyFill="1" applyBorder="1" applyAlignment="1">
      <alignment horizontal="right"/>
    </xf>
    <xf numFmtId="164" fontId="12" fillId="0" borderId="39" xfId="6" applyNumberFormat="1" applyFont="1" applyFill="1" applyBorder="1" applyAlignment="1">
      <alignment vertical="center"/>
    </xf>
    <xf numFmtId="164" fontId="10" fillId="0" borderId="40" xfId="6" applyNumberFormat="1" applyFont="1" applyFill="1" applyBorder="1" applyAlignment="1">
      <alignment vertical="center"/>
    </xf>
    <xf numFmtId="0" fontId="2" fillId="0" borderId="0" xfId="6" applyFont="1" applyFill="1" applyBorder="1" applyAlignment="1">
      <alignment horizontal="left"/>
    </xf>
    <xf numFmtId="4" fontId="10" fillId="0" borderId="35" xfId="6" applyNumberFormat="1" applyFont="1" applyFill="1" applyBorder="1" applyAlignment="1">
      <alignment horizontal="right"/>
    </xf>
    <xf numFmtId="0" fontId="7" fillId="2" borderId="8" xfId="6" applyFont="1" applyFill="1" applyBorder="1" applyAlignment="1">
      <alignment horizontal="left" vertical="center"/>
    </xf>
    <xf numFmtId="4" fontId="3" fillId="2" borderId="8" xfId="6" applyNumberFormat="1" applyFont="1" applyFill="1" applyBorder="1" applyAlignment="1">
      <alignment horizontal="right" vertical="center"/>
    </xf>
    <xf numFmtId="0" fontId="9" fillId="0" borderId="12" xfId="6" applyFont="1" applyFill="1" applyBorder="1" applyAlignment="1">
      <alignment horizontal="left" vertical="center"/>
    </xf>
    <xf numFmtId="4" fontId="9" fillId="0" borderId="4" xfId="6" applyNumberFormat="1" applyFont="1" applyFill="1" applyBorder="1" applyAlignment="1">
      <alignment horizontal="right"/>
    </xf>
    <xf numFmtId="0" fontId="9" fillId="0" borderId="0" xfId="6" applyFont="1" applyFill="1" applyBorder="1" applyAlignment="1">
      <alignment horizontal="left"/>
    </xf>
    <xf numFmtId="4" fontId="9" fillId="0" borderId="0" xfId="6" applyNumberFormat="1" applyFont="1" applyFill="1" applyBorder="1" applyAlignment="1">
      <alignment horizontal="right"/>
    </xf>
    <xf numFmtId="164" fontId="9" fillId="0" borderId="0" xfId="6" applyNumberFormat="1" applyFont="1" applyFill="1" applyBorder="1" applyAlignment="1">
      <alignment horizontal="right"/>
    </xf>
    <xf numFmtId="0" fontId="7" fillId="2" borderId="0" xfId="6" applyFont="1" applyFill="1" applyBorder="1" applyAlignment="1">
      <alignment horizontal="left" vertical="center"/>
    </xf>
    <xf numFmtId="4" fontId="3" fillId="2" borderId="0" xfId="6" applyNumberFormat="1" applyFont="1" applyFill="1" applyBorder="1" applyAlignment="1">
      <alignment horizontal="right" vertical="center"/>
    </xf>
    <xf numFmtId="164" fontId="15" fillId="0" borderId="0" xfId="6" applyNumberFormat="1" applyFont="1" applyFill="1" applyBorder="1" applyAlignment="1">
      <alignment horizontal="right" vertical="center"/>
    </xf>
    <xf numFmtId="4" fontId="10" fillId="0" borderId="0" xfId="6" applyNumberFormat="1" applyFont="1" applyFill="1" applyBorder="1"/>
    <xf numFmtId="0" fontId="2" fillId="4" borderId="0" xfId="6" applyFont="1" applyFill="1" applyAlignment="1">
      <alignment horizontal="left"/>
    </xf>
    <xf numFmtId="0" fontId="13" fillId="0" borderId="0" xfId="6" applyFont="1" applyFill="1" applyBorder="1" applyAlignment="1">
      <alignment horizontal="left"/>
    </xf>
    <xf numFmtId="0" fontId="14" fillId="0" borderId="0" xfId="6" applyFont="1" applyFill="1" applyBorder="1"/>
    <xf numFmtId="0" fontId="2" fillId="3" borderId="0" xfId="6" applyFont="1" applyFill="1" applyAlignment="1">
      <alignment horizontal="left"/>
    </xf>
    <xf numFmtId="0" fontId="14" fillId="0" borderId="0" xfId="6" applyFont="1" applyFill="1" applyBorder="1" applyAlignment="1">
      <alignment horizontal="left"/>
    </xf>
    <xf numFmtId="164" fontId="14" fillId="0" borderId="0" xfId="6" applyNumberFormat="1" applyFont="1" applyFill="1" applyBorder="1"/>
    <xf numFmtId="0" fontId="2" fillId="6" borderId="0" xfId="6" applyFont="1" applyFill="1" applyAlignment="1">
      <alignment horizontal="left"/>
    </xf>
    <xf numFmtId="0" fontId="2" fillId="7" borderId="0" xfId="6" applyFont="1" applyFill="1" applyAlignment="1">
      <alignment horizontal="left"/>
    </xf>
    <xf numFmtId="0" fontId="15" fillId="0" borderId="8" xfId="6" applyFont="1" applyFill="1" applyBorder="1" applyAlignment="1">
      <alignment horizontal="left"/>
    </xf>
    <xf numFmtId="4" fontId="12" fillId="0" borderId="8" xfId="6" applyNumberFormat="1" applyFont="1" applyFill="1" applyBorder="1"/>
    <xf numFmtId="164" fontId="12" fillId="0" borderId="8" xfId="6" applyNumberFormat="1" applyFont="1" applyFill="1" applyBorder="1"/>
    <xf numFmtId="4" fontId="40" fillId="0" borderId="0" xfId="6" applyNumberFormat="1" applyFont="1"/>
    <xf numFmtId="0" fontId="39" fillId="0" borderId="0" xfId="6" applyFont="1"/>
    <xf numFmtId="4" fontId="45" fillId="0" borderId="0" xfId="6" applyNumberFormat="1" applyFont="1" applyFill="1"/>
    <xf numFmtId="4" fontId="26" fillId="0" borderId="0" xfId="6" applyNumberFormat="1" applyFont="1" applyFill="1"/>
    <xf numFmtId="4" fontId="6" fillId="0" borderId="0" xfId="6" applyNumberFormat="1" applyFont="1"/>
    <xf numFmtId="0" fontId="2" fillId="0" borderId="0" xfId="6" applyFill="1" applyBorder="1" applyAlignment="1">
      <alignment horizontal="center"/>
    </xf>
    <xf numFmtId="4" fontId="6" fillId="0" borderId="0" xfId="6" applyNumberFormat="1" applyFont="1" applyFill="1" applyBorder="1" applyAlignment="1">
      <alignment horizontal="right"/>
    </xf>
    <xf numFmtId="0" fontId="2" fillId="0" borderId="0" xfId="6" applyFont="1" applyFill="1" applyBorder="1" applyAlignment="1">
      <alignment horizontal="center"/>
    </xf>
    <xf numFmtId="4" fontId="2" fillId="0" borderId="0" xfId="6" applyNumberFormat="1" applyFill="1" applyBorder="1" applyAlignment="1">
      <alignment horizontal="right"/>
    </xf>
    <xf numFmtId="0" fontId="2" fillId="0" borderId="0" xfId="6" applyFont="1" applyFill="1" applyAlignment="1">
      <alignment horizontal="center"/>
    </xf>
    <xf numFmtId="0" fontId="10" fillId="0" borderId="26" xfId="6" applyFont="1" applyFill="1" applyBorder="1" applyAlignment="1">
      <alignment horizontal="left" vertical="center"/>
    </xf>
    <xf numFmtId="4" fontId="10" fillId="0" borderId="27" xfId="6" applyNumberFormat="1" applyFont="1" applyFill="1" applyBorder="1" applyAlignment="1">
      <alignment horizontal="right" vertical="center"/>
    </xf>
    <xf numFmtId="164" fontId="10" fillId="0" borderId="28" xfId="6" applyNumberFormat="1" applyFont="1" applyFill="1" applyBorder="1" applyAlignment="1">
      <alignment vertical="center"/>
    </xf>
    <xf numFmtId="4" fontId="3" fillId="8" borderId="8" xfId="6" applyNumberFormat="1" applyFont="1" applyFill="1" applyBorder="1" applyAlignment="1">
      <alignment vertical="center"/>
    </xf>
    <xf numFmtId="0" fontId="48" fillId="0" borderId="0" xfId="1" applyFont="1" applyAlignment="1">
      <alignment vertical="center"/>
    </xf>
    <xf numFmtId="4" fontId="49" fillId="0" borderId="0" xfId="6" applyNumberFormat="1" applyFont="1" applyFill="1"/>
    <xf numFmtId="4" fontId="34" fillId="8" borderId="0" xfId="6" applyNumberFormat="1" applyFont="1" applyFill="1" applyBorder="1"/>
    <xf numFmtId="0" fontId="50" fillId="0" borderId="0" xfId="6" applyFont="1"/>
    <xf numFmtId="0" fontId="51" fillId="0" borderId="0" xfId="6" applyFont="1"/>
    <xf numFmtId="0" fontId="52" fillId="8" borderId="0" xfId="6" applyFont="1" applyFill="1"/>
    <xf numFmtId="4" fontId="52" fillId="0" borderId="0" xfId="6" applyNumberFormat="1" applyFont="1"/>
    <xf numFmtId="4" fontId="22" fillId="8" borderId="0" xfId="6" applyNumberFormat="1" applyFont="1" applyFill="1"/>
    <xf numFmtId="4" fontId="23" fillId="0" borderId="0" xfId="6" applyNumberFormat="1" applyFont="1"/>
    <xf numFmtId="4" fontId="2" fillId="8" borderId="0" xfId="6" applyNumberFormat="1" applyFont="1" applyFill="1"/>
    <xf numFmtId="4" fontId="10" fillId="0" borderId="27" xfId="1" applyNumberFormat="1" applyFont="1" applyFill="1" applyBorder="1" applyAlignment="1">
      <alignment vertical="center"/>
    </xf>
    <xf numFmtId="4" fontId="10" fillId="0" borderId="29" xfId="1" applyNumberFormat="1" applyFont="1" applyFill="1" applyBorder="1" applyAlignment="1">
      <alignment horizontal="right" vertical="center"/>
    </xf>
    <xf numFmtId="0" fontId="10" fillId="0" borderId="26" xfId="1" applyFont="1" applyFill="1" applyBorder="1" applyAlignment="1">
      <alignment horizontal="left" vertical="center" wrapText="1"/>
    </xf>
    <xf numFmtId="4" fontId="10" fillId="0" borderId="30" xfId="1" applyNumberFormat="1" applyFont="1" applyFill="1" applyBorder="1" applyAlignment="1">
      <alignment horizontal="right" vertical="center"/>
    </xf>
    <xf numFmtId="4" fontId="10" fillId="0" borderId="23" xfId="1" applyNumberFormat="1" applyFont="1" applyFill="1" applyBorder="1" applyAlignment="1">
      <alignment horizontal="right" vertical="center"/>
    </xf>
    <xf numFmtId="4" fontId="10" fillId="0" borderId="27" xfId="1" applyNumberFormat="1" applyFont="1" applyFill="1" applyBorder="1" applyAlignment="1">
      <alignment horizontal="right"/>
    </xf>
    <xf numFmtId="4" fontId="10" fillId="0" borderId="23" xfId="1" applyNumberFormat="1" applyFont="1" applyFill="1" applyBorder="1"/>
    <xf numFmtId="4" fontId="10" fillId="0" borderId="27" xfId="1" applyNumberFormat="1" applyFont="1" applyFill="1" applyBorder="1"/>
    <xf numFmtId="0" fontId="10" fillId="0" borderId="22" xfId="6" applyFont="1" applyFill="1" applyBorder="1" applyAlignment="1">
      <alignment vertical="center" wrapText="1"/>
    </xf>
    <xf numFmtId="4" fontId="11" fillId="0" borderId="23" xfId="6" applyNumberFormat="1" applyFont="1" applyFill="1" applyBorder="1" applyAlignment="1">
      <alignment vertical="center"/>
    </xf>
    <xf numFmtId="164" fontId="10" fillId="0" borderId="25" xfId="6" applyNumberFormat="1" applyFont="1" applyFill="1" applyBorder="1" applyAlignment="1">
      <alignment vertical="center"/>
    </xf>
    <xf numFmtId="4" fontId="11" fillId="0" borderId="23" xfId="6" applyNumberFormat="1" applyFont="1" applyFill="1" applyBorder="1" applyAlignment="1">
      <alignment horizontal="right" vertical="center"/>
    </xf>
    <xf numFmtId="0" fontId="10" fillId="0" borderId="26" xfId="6" applyFont="1" applyFill="1" applyBorder="1" applyAlignment="1">
      <alignment vertical="center" wrapText="1"/>
    </xf>
    <xf numFmtId="4" fontId="11" fillId="0" borderId="27" xfId="6" applyNumberFormat="1" applyFont="1" applyFill="1" applyBorder="1" applyAlignment="1">
      <alignment horizontal="right" vertical="center"/>
    </xf>
    <xf numFmtId="0" fontId="10" fillId="0" borderId="22" xfId="6" applyFont="1" applyFill="1" applyBorder="1" applyAlignment="1">
      <alignment wrapText="1"/>
    </xf>
    <xf numFmtId="0" fontId="10" fillId="8" borderId="22" xfId="6" applyFont="1" applyFill="1" applyBorder="1" applyAlignment="1">
      <alignment vertical="center" wrapText="1"/>
    </xf>
    <xf numFmtId="164" fontId="10" fillId="8" borderId="25" xfId="6" applyNumberFormat="1" applyFont="1" applyFill="1" applyBorder="1" applyAlignment="1">
      <alignment vertical="center"/>
    </xf>
    <xf numFmtId="4" fontId="10" fillId="0" borderId="29" xfId="6" applyNumberFormat="1" applyFont="1" applyFill="1" applyBorder="1" applyAlignment="1">
      <alignment vertical="center"/>
    </xf>
    <xf numFmtId="4" fontId="10" fillId="0" borderId="30" xfId="6" applyNumberFormat="1" applyFont="1" applyFill="1" applyBorder="1" applyAlignment="1">
      <alignment vertical="center"/>
    </xf>
    <xf numFmtId="0" fontId="7" fillId="2" borderId="41" xfId="6" applyFont="1" applyFill="1" applyBorder="1" applyAlignment="1">
      <alignment horizontal="left" vertical="center"/>
    </xf>
    <xf numFmtId="164" fontId="15" fillId="0" borderId="42" xfId="6" applyNumberFormat="1" applyFont="1" applyFill="1" applyBorder="1" applyAlignment="1">
      <alignment vertical="center"/>
    </xf>
    <xf numFmtId="0" fontId="16" fillId="0" borderId="12" xfId="6" applyFont="1" applyFill="1" applyBorder="1" applyAlignment="1">
      <alignment horizontal="left" vertical="center"/>
    </xf>
    <xf numFmtId="4" fontId="10" fillId="0" borderId="27" xfId="6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wrapText="1"/>
    </xf>
    <xf numFmtId="0" fontId="22" fillId="0" borderId="0" xfId="1" applyFont="1" applyAlignment="1">
      <alignment horizontal="right"/>
    </xf>
    <xf numFmtId="0" fontId="36" fillId="0" borderId="0" xfId="1" applyFont="1" applyAlignment="1">
      <alignment horizontal="right"/>
    </xf>
    <xf numFmtId="0" fontId="35" fillId="9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45" fillId="0" borderId="0" xfId="1" applyFont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31" fillId="0" borderId="43" xfId="1" applyFont="1" applyFill="1" applyBorder="1"/>
    <xf numFmtId="0" fontId="30" fillId="0" borderId="44" xfId="1" applyFont="1" applyFill="1" applyBorder="1"/>
    <xf numFmtId="0" fontId="31" fillId="0" borderId="47" xfId="1" applyFont="1" applyFill="1" applyBorder="1"/>
    <xf numFmtId="4" fontId="31" fillId="0" borderId="48" xfId="1" applyNumberFormat="1" applyFont="1" applyFill="1" applyBorder="1" applyAlignment="1">
      <alignment horizontal="right"/>
    </xf>
    <xf numFmtId="4" fontId="30" fillId="0" borderId="49" xfId="1" applyNumberFormat="1" applyFont="1" applyFill="1" applyBorder="1" applyAlignment="1">
      <alignment horizontal="right"/>
    </xf>
    <xf numFmtId="4" fontId="31" fillId="0" borderId="50" xfId="1" applyNumberFormat="1" applyFont="1" applyFill="1" applyBorder="1" applyAlignment="1">
      <alignment horizontal="right"/>
    </xf>
    <xf numFmtId="0" fontId="50" fillId="0" borderId="0" xfId="1" applyFont="1" applyAlignment="1">
      <alignment horizontal="right"/>
    </xf>
    <xf numFmtId="4" fontId="53" fillId="0" borderId="0" xfId="1" applyNumberFormat="1" applyFont="1"/>
    <xf numFmtId="4" fontId="17" fillId="0" borderId="5" xfId="1" applyNumberFormat="1" applyFont="1" applyFill="1" applyBorder="1"/>
    <xf numFmtId="4" fontId="3" fillId="0" borderId="16" xfId="1" applyNumberFormat="1" applyFont="1" applyBorder="1"/>
    <xf numFmtId="0" fontId="4" fillId="0" borderId="14" xfId="1" applyFill="1" applyBorder="1"/>
    <xf numFmtId="4" fontId="3" fillId="0" borderId="8" xfId="1" applyNumberFormat="1" applyFont="1" applyFill="1" applyBorder="1" applyAlignment="1">
      <alignment vertical="center"/>
    </xf>
    <xf numFmtId="4" fontId="10" fillId="0" borderId="27" xfId="1" applyNumberFormat="1" applyFont="1" applyFill="1" applyBorder="1" applyAlignment="1">
      <alignment horizontal="right" vertical="center"/>
    </xf>
    <xf numFmtId="0" fontId="4" fillId="0" borderId="0" xfId="1" applyFill="1" applyBorder="1"/>
    <xf numFmtId="4" fontId="25" fillId="0" borderId="0" xfId="1" applyNumberFormat="1" applyFont="1" applyFill="1" applyBorder="1"/>
    <xf numFmtId="4" fontId="3" fillId="0" borderId="0" xfId="1" applyNumberFormat="1" applyFont="1" applyFill="1" applyBorder="1" applyAlignment="1">
      <alignment vertical="center"/>
    </xf>
    <xf numFmtId="4" fontId="10" fillId="0" borderId="29" xfId="1" applyNumberFormat="1" applyFont="1" applyFill="1" applyBorder="1" applyAlignment="1">
      <alignment horizontal="right"/>
    </xf>
    <xf numFmtId="4" fontId="9" fillId="0" borderId="20" xfId="1" applyNumberFormat="1" applyFont="1" applyFill="1" applyBorder="1" applyAlignment="1">
      <alignment horizontal="right" vertical="center"/>
    </xf>
    <xf numFmtId="4" fontId="10" fillId="0" borderId="23" xfId="6" applyNumberFormat="1" applyFont="1" applyFill="1" applyBorder="1" applyAlignment="1">
      <alignment vertical="center"/>
    </xf>
    <xf numFmtId="4" fontId="10" fillId="0" borderId="32" xfId="6" applyNumberFormat="1" applyFont="1" applyFill="1" applyBorder="1" applyAlignment="1">
      <alignment vertical="center"/>
    </xf>
    <xf numFmtId="4" fontId="10" fillId="0" borderId="35" xfId="6" applyNumberFormat="1" applyFont="1" applyFill="1" applyBorder="1" applyAlignment="1">
      <alignment vertical="center"/>
    </xf>
    <xf numFmtId="4" fontId="10" fillId="0" borderId="27" xfId="6" applyNumberFormat="1" applyFont="1" applyFill="1" applyBorder="1" applyAlignment="1">
      <alignment vertical="center"/>
    </xf>
    <xf numFmtId="0" fontId="2" fillId="0" borderId="14" xfId="6" applyFill="1" applyBorder="1"/>
    <xf numFmtId="4" fontId="3" fillId="0" borderId="8" xfId="6" applyNumberFormat="1" applyFont="1" applyFill="1" applyBorder="1" applyAlignment="1">
      <alignment vertical="center"/>
    </xf>
    <xf numFmtId="0" fontId="2" fillId="0" borderId="0" xfId="6" applyFill="1" applyBorder="1"/>
    <xf numFmtId="4" fontId="25" fillId="0" borderId="0" xfId="6" applyNumberFormat="1" applyFont="1" applyFill="1" applyBorder="1"/>
    <xf numFmtId="4" fontId="3" fillId="0" borderId="0" xfId="6" applyNumberFormat="1" applyFont="1" applyFill="1" applyBorder="1" applyAlignment="1">
      <alignment vertical="center"/>
    </xf>
    <xf numFmtId="4" fontId="9" fillId="0" borderId="20" xfId="6" applyNumberFormat="1" applyFont="1" applyFill="1" applyBorder="1" applyAlignment="1">
      <alignment horizontal="right" vertical="center"/>
    </xf>
    <xf numFmtId="3" fontId="2" fillId="0" borderId="0" xfId="6" applyNumberFormat="1" applyFill="1" applyAlignment="1">
      <alignment horizontal="right"/>
    </xf>
    <xf numFmtId="4" fontId="3" fillId="0" borderId="8" xfId="6" applyNumberFormat="1" applyFont="1" applyFill="1" applyBorder="1" applyAlignment="1">
      <alignment horizontal="right" vertical="center"/>
    </xf>
    <xf numFmtId="4" fontId="3" fillId="0" borderId="0" xfId="6" applyNumberFormat="1" applyFont="1" applyFill="1" applyBorder="1" applyAlignment="1">
      <alignment horizontal="right" vertical="center"/>
    </xf>
    <xf numFmtId="0" fontId="10" fillId="8" borderId="0" xfId="1" applyFont="1" applyFill="1" applyBorder="1" applyAlignment="1">
      <alignment horizontal="left" vertical="center"/>
    </xf>
    <xf numFmtId="0" fontId="10" fillId="8" borderId="18" xfId="1" applyFont="1" applyFill="1" applyBorder="1" applyAlignment="1">
      <alignment horizontal="left" vertical="center" wrapText="1"/>
    </xf>
    <xf numFmtId="4" fontId="10" fillId="0" borderId="35" xfId="1" applyNumberFormat="1" applyFont="1" applyFill="1" applyBorder="1" applyAlignment="1">
      <alignment vertical="center"/>
    </xf>
    <xf numFmtId="164" fontId="10" fillId="0" borderId="36" xfId="1" applyNumberFormat="1" applyFont="1" applyFill="1" applyBorder="1" applyAlignment="1">
      <alignment vertical="center"/>
    </xf>
    <xf numFmtId="0" fontId="10" fillId="0" borderId="34" xfId="1" applyFont="1" applyFill="1" applyBorder="1" applyAlignment="1">
      <alignment vertical="center" wrapText="1"/>
    </xf>
    <xf numFmtId="4" fontId="11" fillId="0" borderId="35" xfId="1" applyNumberFormat="1" applyFont="1" applyFill="1" applyBorder="1" applyAlignment="1">
      <alignment horizontal="right" vertical="center"/>
    </xf>
    <xf numFmtId="0" fontId="10" fillId="0" borderId="34" xfId="1" applyFont="1" applyFill="1" applyBorder="1" applyAlignment="1">
      <alignment wrapText="1"/>
    </xf>
    <xf numFmtId="4" fontId="10" fillId="0" borderId="35" xfId="1" applyNumberFormat="1" applyFont="1" applyFill="1" applyBorder="1" applyAlignment="1">
      <alignment horizontal="right" vertical="center"/>
    </xf>
    <xf numFmtId="0" fontId="10" fillId="0" borderId="34" xfId="1" applyFont="1" applyFill="1" applyBorder="1"/>
    <xf numFmtId="4" fontId="10" fillId="0" borderId="35" xfId="1" applyNumberFormat="1" applyFont="1" applyFill="1" applyBorder="1" applyAlignment="1">
      <alignment horizontal="right"/>
    </xf>
    <xf numFmtId="0" fontId="10" fillId="8" borderId="34" xfId="1" applyFont="1" applyFill="1" applyBorder="1"/>
    <xf numFmtId="4" fontId="10" fillId="8" borderId="35" xfId="1" applyNumberFormat="1" applyFont="1" applyFill="1" applyBorder="1" applyAlignment="1">
      <alignment horizontal="right"/>
    </xf>
    <xf numFmtId="4" fontId="10" fillId="8" borderId="38" xfId="1" applyNumberFormat="1" applyFont="1" applyFill="1" applyBorder="1" applyAlignment="1">
      <alignment horizontal="right"/>
    </xf>
    <xf numFmtId="164" fontId="10" fillId="8" borderId="36" xfId="1" applyNumberFormat="1" applyFont="1" applyFill="1" applyBorder="1" applyAlignment="1">
      <alignment vertical="center"/>
    </xf>
    <xf numFmtId="4" fontId="10" fillId="8" borderId="35" xfId="1" applyNumberFormat="1" applyFont="1" applyFill="1" applyBorder="1"/>
    <xf numFmtId="4" fontId="10" fillId="0" borderId="38" xfId="1" applyNumberFormat="1" applyFont="1" applyFill="1" applyBorder="1"/>
    <xf numFmtId="0" fontId="9" fillId="0" borderId="31" xfId="1" applyFont="1" applyFill="1" applyBorder="1" applyAlignment="1">
      <alignment horizontal="left" vertical="center"/>
    </xf>
    <xf numFmtId="4" fontId="9" fillId="0" borderId="37" xfId="1" applyNumberFormat="1" applyFont="1" applyFill="1" applyBorder="1" applyAlignment="1">
      <alignment horizontal="right" vertical="center"/>
    </xf>
    <xf numFmtId="164" fontId="12" fillId="0" borderId="33" xfId="1" applyNumberFormat="1" applyFont="1" applyFill="1" applyBorder="1" applyAlignment="1">
      <alignment vertical="center"/>
    </xf>
    <xf numFmtId="4" fontId="10" fillId="0" borderId="4" xfId="6" applyNumberFormat="1" applyFont="1" applyFill="1" applyBorder="1" applyAlignment="1">
      <alignment horizontal="right" vertical="center"/>
    </xf>
    <xf numFmtId="4" fontId="20" fillId="0" borderId="0" xfId="1" applyNumberFormat="1" applyFont="1"/>
    <xf numFmtId="0" fontId="2" fillId="0" borderId="0" xfId="6" applyNumberFormat="1" applyFont="1" applyFill="1" applyBorder="1" applyAlignment="1">
      <alignment horizontal="left" vertical="center"/>
    </xf>
    <xf numFmtId="4" fontId="4" fillId="0" borderId="0" xfId="1" applyNumberFormat="1" applyFont="1"/>
    <xf numFmtId="0" fontId="3" fillId="0" borderId="0" xfId="1" applyFont="1" applyBorder="1" applyAlignment="1">
      <alignment horizontal="left"/>
    </xf>
    <xf numFmtId="4" fontId="23" fillId="0" borderId="0" xfId="1" applyNumberFormat="1" applyFont="1"/>
    <xf numFmtId="4" fontId="31" fillId="0" borderId="0" xfId="1" applyNumberFormat="1" applyFont="1" applyFill="1"/>
    <xf numFmtId="4" fontId="17" fillId="0" borderId="0" xfId="1" applyNumberFormat="1" applyFont="1"/>
    <xf numFmtId="0" fontId="10" fillId="0" borderId="31" xfId="1" applyFont="1" applyFill="1" applyBorder="1" applyAlignment="1">
      <alignment vertical="center" wrapText="1"/>
    </xf>
    <xf numFmtId="4" fontId="10" fillId="0" borderId="32" xfId="1" applyNumberFormat="1" applyFont="1" applyFill="1" applyBorder="1" applyAlignment="1">
      <alignment vertical="center"/>
    </xf>
    <xf numFmtId="4" fontId="11" fillId="0" borderId="51" xfId="1" applyNumberFormat="1" applyFont="1" applyFill="1" applyBorder="1" applyAlignment="1">
      <alignment horizontal="right" vertical="center"/>
    </xf>
    <xf numFmtId="4" fontId="11" fillId="0" borderId="32" xfId="1" applyNumberFormat="1" applyFont="1" applyFill="1" applyBorder="1" applyAlignment="1">
      <alignment horizontal="right" vertical="center"/>
    </xf>
    <xf numFmtId="164" fontId="10" fillId="0" borderId="33" xfId="1" applyNumberFormat="1" applyFont="1" applyFill="1" applyBorder="1" applyAlignment="1">
      <alignment vertical="center"/>
    </xf>
    <xf numFmtId="0" fontId="10" fillId="0" borderId="31" xfId="1" applyFont="1" applyFill="1" applyBorder="1"/>
    <xf numFmtId="4" fontId="10" fillId="0" borderId="32" xfId="1" applyNumberFormat="1" applyFont="1" applyFill="1" applyBorder="1"/>
    <xf numFmtId="4" fontId="10" fillId="0" borderId="32" xfId="1" applyNumberFormat="1" applyFont="1" applyFill="1" applyBorder="1" applyAlignment="1">
      <alignment horizontal="right"/>
    </xf>
    <xf numFmtId="4" fontId="10" fillId="0" borderId="37" xfId="1" applyNumberFormat="1" applyFont="1" applyFill="1" applyBorder="1" applyAlignment="1">
      <alignment vertical="center"/>
    </xf>
    <xf numFmtId="4" fontId="10" fillId="0" borderId="37" xfId="1" applyNumberFormat="1" applyFont="1" applyFill="1" applyBorder="1"/>
    <xf numFmtId="4" fontId="29" fillId="0" borderId="0" xfId="1" applyNumberFormat="1" applyFont="1" applyFill="1"/>
    <xf numFmtId="0" fontId="51" fillId="8" borderId="0" xfId="6" applyFont="1" applyFill="1"/>
    <xf numFmtId="0" fontId="56" fillId="0" borderId="0" xfId="6" applyFont="1" applyFill="1"/>
    <xf numFmtId="0" fontId="2" fillId="0" borderId="22" xfId="6" applyBorder="1" applyAlignment="1">
      <alignment vertical="center" wrapText="1"/>
    </xf>
    <xf numFmtId="0" fontId="10" fillId="0" borderId="26" xfId="6" applyFont="1" applyFill="1" applyBorder="1" applyAlignment="1">
      <alignment horizontal="left" vertical="center" wrapText="1"/>
    </xf>
    <xf numFmtId="0" fontId="2" fillId="0" borderId="31" xfId="6" applyFont="1" applyBorder="1" applyAlignment="1">
      <alignment vertical="center" wrapText="1"/>
    </xf>
    <xf numFmtId="0" fontId="57" fillId="8" borderId="0" xfId="6" applyFont="1" applyFill="1"/>
    <xf numFmtId="0" fontId="52" fillId="0" borderId="0" xfId="6" applyFont="1"/>
    <xf numFmtId="4" fontId="2" fillId="0" borderId="0" xfId="6" applyNumberFormat="1" applyFont="1" applyAlignment="1">
      <alignment vertical="center"/>
    </xf>
    <xf numFmtId="4" fontId="10" fillId="0" borderId="23" xfId="6" applyNumberFormat="1" applyFont="1" applyFill="1" applyBorder="1" applyAlignment="1">
      <alignment horizontal="right"/>
    </xf>
    <xf numFmtId="0" fontId="10" fillId="0" borderId="18" xfId="6" applyFont="1" applyFill="1" applyBorder="1" applyAlignment="1">
      <alignment vertical="center" wrapText="1"/>
    </xf>
    <xf numFmtId="4" fontId="11" fillId="0" borderId="9" xfId="6" applyNumberFormat="1" applyFont="1" applyFill="1" applyBorder="1" applyAlignment="1">
      <alignment horizontal="right" vertical="center"/>
    </xf>
    <xf numFmtId="4" fontId="58" fillId="0" borderId="0" xfId="6" applyNumberFormat="1" applyFont="1" applyFill="1"/>
    <xf numFmtId="4" fontId="59" fillId="0" borderId="0" xfId="6" applyNumberFormat="1" applyFont="1" applyFill="1"/>
    <xf numFmtId="4" fontId="51" fillId="8" borderId="0" xfId="6" applyNumberFormat="1" applyFont="1" applyFill="1"/>
    <xf numFmtId="4" fontId="52" fillId="8" borderId="0" xfId="6" applyNumberFormat="1" applyFont="1" applyFill="1" applyBorder="1"/>
    <xf numFmtId="4" fontId="10" fillId="0" borderId="35" xfId="6" applyNumberFormat="1" applyFont="1" applyFill="1" applyBorder="1"/>
    <xf numFmtId="4" fontId="10" fillId="0" borderId="9" xfId="6" applyNumberFormat="1" applyFont="1" applyFill="1" applyBorder="1"/>
    <xf numFmtId="4" fontId="10" fillId="0" borderId="38" xfId="6" applyNumberFormat="1" applyFont="1" applyFill="1" applyBorder="1" applyAlignment="1">
      <alignment horizontal="right"/>
    </xf>
    <xf numFmtId="4" fontId="10" fillId="0" borderId="38" xfId="6" applyNumberFormat="1" applyFont="1" applyFill="1" applyBorder="1" applyAlignment="1">
      <alignment horizontal="right" vertical="center"/>
    </xf>
    <xf numFmtId="4" fontId="10" fillId="0" borderId="29" xfId="6" applyNumberFormat="1" applyFont="1" applyFill="1" applyBorder="1" applyAlignment="1">
      <alignment horizontal="right"/>
    </xf>
    <xf numFmtId="4" fontId="10" fillId="0" borderId="29" xfId="6" applyNumberFormat="1" applyFont="1" applyFill="1" applyBorder="1" applyAlignment="1">
      <alignment horizontal="right" vertical="center"/>
    </xf>
    <xf numFmtId="4" fontId="10" fillId="0" borderId="37" xfId="6" applyNumberFormat="1" applyFont="1" applyFill="1" applyBorder="1" applyAlignment="1">
      <alignment horizontal="right"/>
    </xf>
    <xf numFmtId="4" fontId="10" fillId="0" borderId="37" xfId="6" applyNumberFormat="1" applyFont="1" applyFill="1" applyBorder="1" applyAlignment="1">
      <alignment horizontal="right" vertical="center"/>
    </xf>
    <xf numFmtId="4" fontId="10" fillId="0" borderId="13" xfId="6" applyNumberFormat="1" applyFont="1" applyFill="1" applyBorder="1" applyAlignment="1">
      <alignment horizontal="right"/>
    </xf>
    <xf numFmtId="4" fontId="10" fillId="0" borderId="13" xfId="6" applyNumberFormat="1" applyFont="1" applyFill="1" applyBorder="1" applyAlignment="1">
      <alignment horizontal="right" vertical="center"/>
    </xf>
    <xf numFmtId="0" fontId="6" fillId="0" borderId="0" xfId="6" applyFont="1"/>
    <xf numFmtId="0" fontId="57" fillId="0" borderId="0" xfId="6" applyFont="1"/>
    <xf numFmtId="4" fontId="57" fillId="0" borderId="0" xfId="6" applyNumberFormat="1" applyFont="1"/>
    <xf numFmtId="0" fontId="56" fillId="0" borderId="0" xfId="6" applyFont="1" applyFill="1" applyAlignment="1">
      <alignment vertical="center"/>
    </xf>
    <xf numFmtId="4" fontId="4" fillId="0" borderId="0" xfId="1" applyNumberFormat="1" applyFont="1" applyFill="1"/>
    <xf numFmtId="4" fontId="4" fillId="8" borderId="0" xfId="1" applyNumberFormat="1" applyFont="1" applyFill="1"/>
    <xf numFmtId="4" fontId="56" fillId="2" borderId="0" xfId="1" applyNumberFormat="1" applyFont="1" applyFill="1"/>
    <xf numFmtId="4" fontId="56" fillId="0" borderId="0" xfId="1" applyNumberFormat="1" applyFont="1"/>
    <xf numFmtId="0" fontId="17" fillId="0" borderId="43" xfId="1" applyFont="1" applyBorder="1" applyAlignment="1">
      <alignment horizontal="center"/>
    </xf>
    <xf numFmtId="0" fontId="17" fillId="0" borderId="55" xfId="1" applyFont="1" applyBorder="1" applyAlignment="1">
      <alignment horizontal="center"/>
    </xf>
    <xf numFmtId="0" fontId="31" fillId="0" borderId="44" xfId="1" applyFont="1" applyFill="1" applyBorder="1"/>
    <xf numFmtId="4" fontId="31" fillId="0" borderId="57" xfId="1" applyNumberFormat="1" applyFont="1" applyFill="1" applyBorder="1" applyAlignment="1">
      <alignment horizontal="right"/>
    </xf>
    <xf numFmtId="0" fontId="31" fillId="0" borderId="56" xfId="1" applyFont="1" applyFill="1" applyBorder="1"/>
    <xf numFmtId="4" fontId="31" fillId="0" borderId="56" xfId="1" applyNumberFormat="1" applyFont="1" applyFill="1" applyBorder="1" applyAlignment="1">
      <alignment horizontal="right"/>
    </xf>
    <xf numFmtId="0" fontId="10" fillId="0" borderId="37" xfId="1" applyFont="1" applyFill="1" applyBorder="1"/>
    <xf numFmtId="4" fontId="21" fillId="0" borderId="0" xfId="1" applyNumberFormat="1" applyFont="1"/>
    <xf numFmtId="0" fontId="16" fillId="0" borderId="26" xfId="6" applyFont="1" applyFill="1" applyBorder="1" applyAlignment="1">
      <alignment horizontal="left"/>
    </xf>
    <xf numFmtId="0" fontId="4" fillId="0" borderId="0" xfId="1" applyFont="1" applyBorder="1"/>
    <xf numFmtId="4" fontId="55" fillId="0" borderId="0" xfId="1" applyNumberFormat="1" applyFont="1" applyBorder="1"/>
    <xf numFmtId="0" fontId="31" fillId="0" borderId="0" xfId="1" applyFont="1" applyFill="1" applyBorder="1"/>
    <xf numFmtId="4" fontId="31" fillId="0" borderId="0" xfId="1" applyNumberFormat="1" applyFont="1" applyFill="1" applyBorder="1" applyAlignment="1">
      <alignment horizontal="right"/>
    </xf>
    <xf numFmtId="0" fontId="17" fillId="0" borderId="0" xfId="1" applyFont="1" applyBorder="1" applyAlignment="1">
      <alignment horizontal="center"/>
    </xf>
    <xf numFmtId="0" fontId="30" fillId="0" borderId="0" xfId="1" applyFont="1" applyFill="1" applyBorder="1"/>
    <xf numFmtId="4" fontId="30" fillId="0" borderId="0" xfId="1" applyNumberFormat="1" applyFont="1" applyFill="1" applyBorder="1" applyAlignment="1">
      <alignment horizontal="right"/>
    </xf>
    <xf numFmtId="0" fontId="17" fillId="0" borderId="0" xfId="1" applyFont="1" applyBorder="1"/>
    <xf numFmtId="4" fontId="17" fillId="0" borderId="5" xfId="1" applyNumberFormat="1" applyFont="1" applyBorder="1"/>
    <xf numFmtId="0" fontId="10" fillId="0" borderId="31" xfId="1" applyFont="1" applyFill="1" applyBorder="1" applyAlignment="1">
      <alignment horizontal="left" vertical="center" wrapText="1"/>
    </xf>
    <xf numFmtId="0" fontId="10" fillId="0" borderId="22" xfId="1" applyFont="1" applyFill="1" applyBorder="1" applyAlignment="1">
      <alignment horizontal="left" vertical="center" wrapText="1"/>
    </xf>
    <xf numFmtId="0" fontId="10" fillId="8" borderId="31" xfId="1" applyFont="1" applyFill="1" applyBorder="1" applyAlignment="1">
      <alignment vertical="center" wrapText="1"/>
    </xf>
    <xf numFmtId="4" fontId="10" fillId="8" borderId="37" xfId="1" applyNumberFormat="1" applyFont="1" applyFill="1" applyBorder="1" applyAlignment="1">
      <alignment horizontal="right"/>
    </xf>
    <xf numFmtId="4" fontId="10" fillId="8" borderId="37" xfId="1" applyNumberFormat="1" applyFont="1" applyFill="1" applyBorder="1" applyAlignment="1">
      <alignment horizontal="right" vertical="center"/>
    </xf>
    <xf numFmtId="4" fontId="10" fillId="8" borderId="23" xfId="1" applyNumberFormat="1" applyFont="1" applyFill="1" applyBorder="1" applyAlignment="1">
      <alignment horizontal="right" vertical="center"/>
    </xf>
    <xf numFmtId="4" fontId="10" fillId="8" borderId="27" xfId="1" applyNumberFormat="1" applyFont="1" applyFill="1" applyBorder="1" applyAlignment="1">
      <alignment horizontal="right"/>
    </xf>
    <xf numFmtId="4" fontId="10" fillId="8" borderId="27" xfId="1" applyNumberFormat="1" applyFont="1" applyFill="1" applyBorder="1" applyAlignment="1">
      <alignment horizontal="right" vertical="center"/>
    </xf>
    <xf numFmtId="0" fontId="10" fillId="0" borderId="31" xfId="6" applyFont="1" applyFill="1" applyBorder="1" applyAlignment="1">
      <alignment horizontal="left" vertical="center" wrapText="1"/>
    </xf>
    <xf numFmtId="0" fontId="10" fillId="0" borderId="34" xfId="6" applyFont="1" applyFill="1" applyBorder="1" applyAlignment="1">
      <alignment horizontal="left" vertical="center" wrapText="1"/>
    </xf>
    <xf numFmtId="0" fontId="10" fillId="0" borderId="15" xfId="6" applyFont="1" applyFill="1" applyBorder="1" applyAlignment="1">
      <alignment horizontal="left" vertical="center" wrapText="1"/>
    </xf>
    <xf numFmtId="0" fontId="10" fillId="0" borderId="31" xfId="6" applyFont="1" applyFill="1" applyBorder="1" applyAlignment="1">
      <alignment vertical="center" wrapText="1"/>
    </xf>
    <xf numFmtId="0" fontId="16" fillId="0" borderId="15" xfId="6" applyFont="1" applyFill="1" applyBorder="1" applyAlignment="1">
      <alignment horizontal="left" vertical="center"/>
    </xf>
    <xf numFmtId="0" fontId="50" fillId="0" borderId="0" xfId="6" applyFont="1" applyAlignment="1">
      <alignment vertical="center"/>
    </xf>
    <xf numFmtId="0" fontId="16" fillId="0" borderId="34" xfId="6" applyFont="1" applyFill="1" applyBorder="1" applyAlignment="1">
      <alignment vertical="center"/>
    </xf>
    <xf numFmtId="0" fontId="16" fillId="0" borderId="26" xfId="6" applyFont="1" applyFill="1" applyBorder="1" applyAlignment="1">
      <alignment vertical="center"/>
    </xf>
    <xf numFmtId="4" fontId="10" fillId="0" borderId="37" xfId="6" applyNumberFormat="1" applyFont="1" applyFill="1" applyBorder="1" applyAlignment="1">
      <alignment vertical="center"/>
    </xf>
    <xf numFmtId="4" fontId="59" fillId="8" borderId="0" xfId="6" applyNumberFormat="1" applyFont="1" applyFill="1"/>
    <xf numFmtId="4" fontId="10" fillId="0" borderId="9" xfId="6" applyNumberFormat="1" applyFont="1" applyFill="1" applyBorder="1" applyAlignment="1">
      <alignment horizontal="right"/>
    </xf>
    <xf numFmtId="0" fontId="10" fillId="0" borderId="18" xfId="6" applyFont="1" applyFill="1" applyBorder="1" applyAlignment="1">
      <alignment horizontal="left" vertical="center" wrapText="1"/>
    </xf>
    <xf numFmtId="4" fontId="10" fillId="8" borderId="32" xfId="1" applyNumberFormat="1" applyFont="1" applyFill="1" applyBorder="1"/>
    <xf numFmtId="164" fontId="10" fillId="8" borderId="33" xfId="1" applyNumberFormat="1" applyFont="1" applyFill="1" applyBorder="1" applyAlignment="1">
      <alignment vertical="center"/>
    </xf>
    <xf numFmtId="4" fontId="10" fillId="0" borderId="27" xfId="6" applyNumberFormat="1" applyFont="1" applyFill="1" applyBorder="1"/>
    <xf numFmtId="164" fontId="10" fillId="8" borderId="28" xfId="6" applyNumberFormat="1" applyFont="1" applyFill="1" applyBorder="1" applyAlignment="1">
      <alignment vertical="center"/>
    </xf>
    <xf numFmtId="0" fontId="10" fillId="0" borderId="31" xfId="6" applyFont="1" applyFill="1" applyBorder="1" applyAlignment="1">
      <alignment vertical="center" wrapText="1"/>
    </xf>
    <xf numFmtId="4" fontId="10" fillId="0" borderId="32" xfId="6" applyNumberFormat="1" applyFont="1" applyFill="1" applyBorder="1" applyAlignment="1">
      <alignment horizontal="right"/>
    </xf>
    <xf numFmtId="0" fontId="10" fillId="0" borderId="34" xfId="6" applyFont="1" applyFill="1" applyBorder="1" applyAlignment="1">
      <alignment vertical="center" wrapText="1"/>
    </xf>
    <xf numFmtId="0" fontId="10" fillId="0" borderId="18" xfId="1" applyFont="1" applyFill="1" applyBorder="1" applyAlignment="1">
      <alignment wrapText="1"/>
    </xf>
    <xf numFmtId="0" fontId="2" fillId="0" borderId="0" xfId="1" applyFont="1" applyAlignment="1">
      <alignment horizontal="right"/>
    </xf>
    <xf numFmtId="4" fontId="10" fillId="0" borderId="38" xfId="1" applyNumberFormat="1" applyFont="1" applyFill="1" applyBorder="1" applyAlignment="1">
      <alignment horizontal="right"/>
    </xf>
    <xf numFmtId="4" fontId="10" fillId="0" borderId="37" xfId="1" applyNumberFormat="1" applyFont="1" applyFill="1" applyBorder="1" applyAlignment="1">
      <alignment horizontal="right"/>
    </xf>
    <xf numFmtId="4" fontId="10" fillId="0" borderId="9" xfId="6" applyNumberFormat="1" applyFont="1" applyFill="1" applyBorder="1" applyAlignment="1">
      <alignment vertical="center"/>
    </xf>
    <xf numFmtId="0" fontId="17" fillId="0" borderId="45" xfId="1" applyFont="1" applyBorder="1" applyAlignment="1">
      <alignment horizontal="center"/>
    </xf>
    <xf numFmtId="0" fontId="17" fillId="0" borderId="46" xfId="1" applyFont="1" applyBorder="1" applyAlignment="1">
      <alignment horizontal="center"/>
    </xf>
    <xf numFmtId="0" fontId="54" fillId="0" borderId="0" xfId="1" applyFont="1" applyBorder="1" applyAlignment="1">
      <alignment horizontal="left" wrapText="1"/>
    </xf>
    <xf numFmtId="0" fontId="17" fillId="0" borderId="0" xfId="1" applyFont="1" applyBorder="1" applyAlignment="1">
      <alignment horizontal="center"/>
    </xf>
    <xf numFmtId="0" fontId="10" fillId="8" borderId="31" xfId="1" applyFont="1" applyFill="1" applyBorder="1" applyAlignment="1">
      <alignment horizontal="left" vertical="center" wrapText="1"/>
    </xf>
    <xf numFmtId="0" fontId="10" fillId="8" borderId="34" xfId="1" applyFont="1" applyFill="1" applyBorder="1" applyAlignment="1">
      <alignment horizontal="left" vertical="center" wrapText="1"/>
    </xf>
    <xf numFmtId="0" fontId="10" fillId="8" borderId="15" xfId="1" applyFont="1" applyFill="1" applyBorder="1" applyAlignment="1">
      <alignment horizontal="left" vertical="center"/>
    </xf>
    <xf numFmtId="0" fontId="10" fillId="8" borderId="18" xfId="1" applyFont="1" applyFill="1" applyBorder="1" applyAlignment="1">
      <alignment horizontal="left" vertical="center"/>
    </xf>
    <xf numFmtId="0" fontId="10" fillId="0" borderId="31" xfId="6" applyFont="1" applyFill="1" applyBorder="1" applyAlignment="1">
      <alignment horizontal="left" vertical="center" wrapText="1"/>
    </xf>
    <xf numFmtId="0" fontId="10" fillId="0" borderId="34" xfId="6" applyFont="1" applyFill="1" applyBorder="1" applyAlignment="1">
      <alignment horizontal="left" vertical="center" wrapText="1"/>
    </xf>
    <xf numFmtId="0" fontId="10" fillId="0" borderId="31" xfId="6" applyFont="1" applyFill="1" applyBorder="1" applyAlignment="1">
      <alignment vertical="center" wrapText="1"/>
    </xf>
    <xf numFmtId="0" fontId="10" fillId="0" borderId="34" xfId="6" applyFont="1" applyFill="1" applyBorder="1" applyAlignment="1">
      <alignment vertical="center" wrapText="1"/>
    </xf>
    <xf numFmtId="0" fontId="10" fillId="8" borderId="31" xfId="6" applyFont="1" applyFill="1" applyBorder="1" applyAlignment="1">
      <alignment vertical="center" wrapText="1"/>
    </xf>
    <xf numFmtId="0" fontId="2" fillId="0" borderId="34" xfId="6" applyBorder="1" applyAlignment="1">
      <alignment vertical="center" wrapText="1"/>
    </xf>
    <xf numFmtId="0" fontId="10" fillId="0" borderId="15" xfId="6" applyFont="1" applyFill="1" applyBorder="1" applyAlignment="1">
      <alignment horizontal="left" vertical="center"/>
    </xf>
    <xf numFmtId="0" fontId="10" fillId="0" borderId="31" xfId="6" applyFont="1" applyFill="1" applyBorder="1" applyAlignment="1">
      <alignment horizontal="left" vertical="center"/>
    </xf>
    <xf numFmtId="0" fontId="10" fillId="0" borderId="34" xfId="6" applyFont="1" applyFill="1" applyBorder="1" applyAlignment="1">
      <alignment horizontal="left" vertical="center"/>
    </xf>
    <xf numFmtId="0" fontId="2" fillId="0" borderId="31" xfId="6" applyBorder="1" applyAlignment="1">
      <alignment vertical="center" wrapText="1"/>
    </xf>
    <xf numFmtId="0" fontId="2" fillId="0" borderId="31" xfId="6" applyFont="1" applyBorder="1" applyAlignment="1">
      <alignment vertical="center" wrapText="1"/>
    </xf>
    <xf numFmtId="0" fontId="2" fillId="0" borderId="34" xfId="6" applyFont="1" applyBorder="1" applyAlignment="1">
      <alignment vertical="center" wrapText="1"/>
    </xf>
    <xf numFmtId="0" fontId="16" fillId="0" borderId="15" xfId="6" applyFont="1" applyFill="1" applyBorder="1" applyAlignment="1">
      <alignment horizontal="left" vertical="center"/>
    </xf>
    <xf numFmtId="0" fontId="16" fillId="0" borderId="18" xfId="6" applyFont="1" applyFill="1" applyBorder="1" applyAlignment="1">
      <alignment horizontal="left" vertical="center"/>
    </xf>
    <xf numFmtId="0" fontId="16" fillId="0" borderId="34" xfId="6" applyFont="1" applyFill="1" applyBorder="1" applyAlignment="1">
      <alignment horizontal="left" vertical="center"/>
    </xf>
    <xf numFmtId="0" fontId="16" fillId="0" borderId="22" xfId="6" applyFont="1" applyFill="1" applyBorder="1" applyAlignment="1">
      <alignment horizontal="left" vertical="center"/>
    </xf>
    <xf numFmtId="0" fontId="10" fillId="0" borderId="53" xfId="6" applyFont="1" applyFill="1" applyBorder="1" applyAlignment="1">
      <alignment vertical="center"/>
    </xf>
    <xf numFmtId="0" fontId="10" fillId="0" borderId="54" xfId="6" applyFont="1" applyFill="1" applyBorder="1" applyAlignment="1">
      <alignment vertical="center"/>
    </xf>
    <xf numFmtId="0" fontId="10" fillId="8" borderId="31" xfId="6" applyFont="1" applyFill="1" applyBorder="1" applyAlignment="1">
      <alignment horizontal="left" vertical="center" wrapText="1"/>
    </xf>
    <xf numFmtId="0" fontId="10" fillId="8" borderId="34" xfId="6" applyFont="1" applyFill="1" applyBorder="1" applyAlignment="1">
      <alignment horizontal="left" vertical="center" wrapText="1"/>
    </xf>
    <xf numFmtId="0" fontId="10" fillId="8" borderId="15" xfId="6" applyFont="1" applyFill="1" applyBorder="1" applyAlignment="1">
      <alignment horizontal="left" vertical="center" wrapText="1"/>
    </xf>
    <xf numFmtId="0" fontId="10" fillId="8" borderId="15" xfId="6" applyFont="1" applyFill="1" applyBorder="1" applyAlignment="1">
      <alignment horizontal="left" vertical="center"/>
    </xf>
    <xf numFmtId="0" fontId="10" fillId="8" borderId="18" xfId="6" applyFont="1" applyFill="1" applyBorder="1" applyAlignment="1">
      <alignment horizontal="left" vertical="center"/>
    </xf>
    <xf numFmtId="0" fontId="10" fillId="8" borderId="18" xfId="6" applyFont="1" applyFill="1" applyBorder="1" applyAlignment="1">
      <alignment vertical="center" wrapText="1"/>
    </xf>
    <xf numFmtId="0" fontId="10" fillId="0" borderId="15" xfId="6" applyFont="1" applyFill="1" applyBorder="1" applyAlignment="1">
      <alignment vertical="center" wrapText="1"/>
    </xf>
    <xf numFmtId="0" fontId="16" fillId="0" borderId="31" xfId="6" applyFont="1" applyFill="1" applyBorder="1" applyAlignment="1">
      <alignment horizontal="left" vertical="center" wrapText="1"/>
    </xf>
    <xf numFmtId="0" fontId="16" fillId="0" borderId="34" xfId="6" applyFont="1" applyFill="1" applyBorder="1" applyAlignment="1">
      <alignment horizontal="left" vertical="center" wrapText="1"/>
    </xf>
    <xf numFmtId="0" fontId="16" fillId="0" borderId="18" xfId="6" applyFont="1" applyFill="1" applyBorder="1" applyAlignment="1">
      <alignment horizontal="left" vertical="center" wrapText="1"/>
    </xf>
    <xf numFmtId="0" fontId="10" fillId="0" borderId="37" xfId="1" applyFont="1" applyFill="1" applyBorder="1" applyAlignment="1">
      <alignment horizontal="left" vertical="center"/>
    </xf>
    <xf numFmtId="0" fontId="10" fillId="0" borderId="52" xfId="1" applyFont="1" applyFill="1" applyBorder="1" applyAlignment="1">
      <alignment horizontal="left" vertical="center"/>
    </xf>
  </cellXfs>
  <cellStyles count="9">
    <cellStyle name="Normální" xfId="0" builtinId="0"/>
    <cellStyle name="Normální 2" xfId="1"/>
    <cellStyle name="normální 2 2" xfId="4"/>
    <cellStyle name="Normální 2 3" xfId="6"/>
    <cellStyle name="Normální 6" xfId="5"/>
    <cellStyle name="normální_Investice 2005-sociální, zdravotní, kutura 2" xfId="2"/>
    <cellStyle name="normální_Investice 2005-sociální, zdravotní, kutura 2 2" xfId="8"/>
    <cellStyle name="normální_Sociální - investice a opravy 2009 - sumarizace vč. prior - 10-12-2008" xfId="3"/>
    <cellStyle name="normální_Sociální - investice a opravy 2009 - sumarizace vč. prior - 10-12-2008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P74"/>
  <sheetViews>
    <sheetView showGridLines="0" tabSelected="1" view="pageBreakPreview" zoomScaleNormal="100" zoomScaleSheetLayoutView="100" workbookViewId="0">
      <selection activeCell="F32" sqref="F1:K1048576"/>
    </sheetView>
  </sheetViews>
  <sheetFormatPr defaultColWidth="9.140625" defaultRowHeight="12.75" x14ac:dyDescent="0.2"/>
  <cols>
    <col min="1" max="1" width="36.140625" style="5" customWidth="1"/>
    <col min="2" max="2" width="19" style="5" customWidth="1"/>
    <col min="3" max="3" width="20.140625" style="5" customWidth="1"/>
    <col min="4" max="4" width="19.42578125" style="5" customWidth="1"/>
    <col min="5" max="5" width="3.28515625" style="5" customWidth="1"/>
    <col min="6" max="6" width="22.5703125" style="5" hidden="1" customWidth="1"/>
    <col min="7" max="7" width="13.5703125" style="5" hidden="1" customWidth="1"/>
    <col min="8" max="8" width="16.28515625" style="5" hidden="1" customWidth="1"/>
    <col min="9" max="9" width="18.85546875" style="5" hidden="1" customWidth="1"/>
    <col min="10" max="10" width="17.85546875" style="5" hidden="1" customWidth="1"/>
    <col min="11" max="11" width="19.42578125" style="5" hidden="1" customWidth="1"/>
    <col min="12" max="12" width="5" style="5" customWidth="1"/>
    <col min="13" max="13" width="3.85546875" style="5" customWidth="1"/>
    <col min="14" max="14" width="17.28515625" style="5" bestFit="1" customWidth="1"/>
    <col min="15" max="15" width="17.42578125" style="5" customWidth="1"/>
    <col min="16" max="16" width="18.140625" style="5" customWidth="1"/>
    <col min="17" max="16384" width="9.140625" style="5"/>
  </cols>
  <sheetData>
    <row r="1" spans="1:9" ht="18" x14ac:dyDescent="0.25">
      <c r="A1" s="6" t="s">
        <v>578</v>
      </c>
      <c r="B1" s="7"/>
      <c r="C1" s="7"/>
      <c r="D1" s="7"/>
    </row>
    <row r="2" spans="1:9" ht="18.75" thickBot="1" x14ac:dyDescent="0.3">
      <c r="A2" s="8"/>
      <c r="B2" s="9"/>
      <c r="C2" s="9"/>
      <c r="D2" s="10" t="s">
        <v>18</v>
      </c>
    </row>
    <row r="3" spans="1:9" ht="14.25" thickTop="1" thickBot="1" x14ac:dyDescent="0.25">
      <c r="A3" s="11"/>
      <c r="B3" s="12" t="s">
        <v>0</v>
      </c>
      <c r="C3" s="13" t="s">
        <v>1</v>
      </c>
      <c r="D3" s="14" t="s">
        <v>4</v>
      </c>
    </row>
    <row r="4" spans="1:9" ht="16.5" thickTop="1" x14ac:dyDescent="0.25">
      <c r="A4" s="15" t="s">
        <v>7</v>
      </c>
      <c r="B4" s="163">
        <f>SUM(B5:B6)</f>
        <v>411493000</v>
      </c>
      <c r="C4" s="163">
        <f t="shared" ref="C4:D4" si="0">SUM(C5:C6)</f>
        <v>508767737.25999999</v>
      </c>
      <c r="D4" s="164">
        <f t="shared" si="0"/>
        <v>461833779.44000006</v>
      </c>
    </row>
    <row r="5" spans="1:9" x14ac:dyDescent="0.2">
      <c r="A5" s="160" t="s">
        <v>25</v>
      </c>
      <c r="B5" s="140">
        <f>'8a) OK 2019'!B427</f>
        <v>273848000</v>
      </c>
      <c r="C5" s="140">
        <f>'8a) OK 2019'!C427</f>
        <v>310836955.63999999</v>
      </c>
      <c r="D5" s="161">
        <f>'8a) OK 2019'!D427</f>
        <v>270903192.75000006</v>
      </c>
    </row>
    <row r="6" spans="1:9" x14ac:dyDescent="0.2">
      <c r="A6" s="160" t="s">
        <v>223</v>
      </c>
      <c r="B6" s="140">
        <f>'8b) Projekty spolufinancované'!B241</f>
        <v>137645000</v>
      </c>
      <c r="C6" s="140">
        <f>'8b) Projekty spolufinancované'!C241</f>
        <v>197930781.62</v>
      </c>
      <c r="D6" s="161">
        <f>'8b) Projekty spolufinancované'!D241</f>
        <v>190930586.69</v>
      </c>
    </row>
    <row r="7" spans="1:9" ht="15.75" x14ac:dyDescent="0.25">
      <c r="A7" s="162" t="s">
        <v>9</v>
      </c>
      <c r="B7" s="163">
        <f>SUM(B8:B9)</f>
        <v>197825000</v>
      </c>
      <c r="C7" s="163">
        <f t="shared" ref="C7:D7" si="1">SUM(C8:C9)</f>
        <v>144110866</v>
      </c>
      <c r="D7" s="164">
        <f t="shared" si="1"/>
        <v>102577454.02000001</v>
      </c>
    </row>
    <row r="8" spans="1:9" x14ac:dyDescent="0.2">
      <c r="A8" s="160" t="s">
        <v>25</v>
      </c>
      <c r="B8" s="140">
        <f>'8a) OK 2019'!B428</f>
        <v>175045000</v>
      </c>
      <c r="C8" s="140">
        <f>'8a) OK 2019'!C428</f>
        <v>97290193.149999991</v>
      </c>
      <c r="D8" s="161">
        <f>'8a) OK 2019'!D428</f>
        <v>71567303.710000008</v>
      </c>
      <c r="G8" s="16"/>
      <c r="H8" s="17"/>
      <c r="I8" s="18"/>
    </row>
    <row r="9" spans="1:9" x14ac:dyDescent="0.2">
      <c r="A9" s="160" t="s">
        <v>223</v>
      </c>
      <c r="B9" s="140">
        <f>'8b) Projekty spolufinancované'!B242</f>
        <v>22780000</v>
      </c>
      <c r="C9" s="140">
        <f>'8b) Projekty spolufinancované'!C242</f>
        <v>46820672.849999994</v>
      </c>
      <c r="D9" s="161">
        <f>'8b) Projekty spolufinancované'!D242</f>
        <v>31010150.309999999</v>
      </c>
      <c r="G9" s="16"/>
      <c r="H9" s="17"/>
      <c r="I9" s="18"/>
    </row>
    <row r="10" spans="1:9" ht="15.75" x14ac:dyDescent="0.25">
      <c r="A10" s="162" t="s">
        <v>8</v>
      </c>
      <c r="B10" s="163">
        <f>SUM(B11:B12)</f>
        <v>109067000</v>
      </c>
      <c r="C10" s="163">
        <f>SUM(C11:C12)</f>
        <v>155350440.21000001</v>
      </c>
      <c r="D10" s="164">
        <f>SUM(D11:D12)</f>
        <v>134227552.38</v>
      </c>
    </row>
    <row r="11" spans="1:9" x14ac:dyDescent="0.2">
      <c r="A11" s="160" t="s">
        <v>25</v>
      </c>
      <c r="B11" s="140">
        <f>'8a) OK 2019'!B429</f>
        <v>97909000</v>
      </c>
      <c r="C11" s="140">
        <f>'8a) OK 2019'!C429</f>
        <v>82816209.400000006</v>
      </c>
      <c r="D11" s="161">
        <f>'8a) OK 2019'!D429</f>
        <v>67532812.150000006</v>
      </c>
    </row>
    <row r="12" spans="1:9" x14ac:dyDescent="0.2">
      <c r="A12" s="160" t="s">
        <v>223</v>
      </c>
      <c r="B12" s="140">
        <f>'8b) Projekty spolufinancované'!B243</f>
        <v>11158000</v>
      </c>
      <c r="C12" s="140">
        <f>'8b) Projekty spolufinancované'!C243</f>
        <v>72534230.810000002</v>
      </c>
      <c r="D12" s="161">
        <f>'8b) Projekty spolufinancované'!D243</f>
        <v>66694740.229999997</v>
      </c>
    </row>
    <row r="13" spans="1:9" ht="15.75" x14ac:dyDescent="0.25">
      <c r="A13" s="162" t="s">
        <v>11</v>
      </c>
      <c r="B13" s="163">
        <f>SUM(B14:B15)</f>
        <v>470675000</v>
      </c>
      <c r="C13" s="163">
        <f>SUM(C14:C15)</f>
        <v>819290155.55000019</v>
      </c>
      <c r="D13" s="164">
        <f>SUM(D14:D15)</f>
        <v>769566659.13000011</v>
      </c>
    </row>
    <row r="14" spans="1:9" x14ac:dyDescent="0.2">
      <c r="A14" s="160" t="s">
        <v>25</v>
      </c>
      <c r="B14" s="140">
        <f>'8a) OK 2019'!B430</f>
        <v>306857000</v>
      </c>
      <c r="C14" s="140">
        <f>'8a) OK 2019'!C430</f>
        <v>320207752.70000005</v>
      </c>
      <c r="D14" s="161">
        <f>'8a) OK 2019'!D430</f>
        <v>304664879.30000001</v>
      </c>
    </row>
    <row r="15" spans="1:9" x14ac:dyDescent="0.2">
      <c r="A15" s="160" t="s">
        <v>223</v>
      </c>
      <c r="B15" s="140">
        <f>'8b) Projekty spolufinancované'!B244</f>
        <v>163818000</v>
      </c>
      <c r="C15" s="140">
        <f>'8b) Projekty spolufinancované'!C244</f>
        <v>499082402.85000008</v>
      </c>
      <c r="D15" s="161">
        <f>'8b) Projekty spolufinancované'!D244</f>
        <v>464901779.83000004</v>
      </c>
    </row>
    <row r="16" spans="1:9" ht="15.75" x14ac:dyDescent="0.25">
      <c r="A16" s="162" t="s">
        <v>10</v>
      </c>
      <c r="B16" s="163">
        <f>SUM(B17:B19)</f>
        <v>199490000</v>
      </c>
      <c r="C16" s="163">
        <f>SUM(C17:C19)</f>
        <v>137944927.78</v>
      </c>
      <c r="D16" s="164">
        <f>SUM(D17:D19)</f>
        <v>121745962.14</v>
      </c>
    </row>
    <row r="17" spans="1:4" x14ac:dyDescent="0.2">
      <c r="A17" s="160" t="s">
        <v>25</v>
      </c>
      <c r="B17" s="140">
        <f>'8a) OK 2019'!B431</f>
        <v>162066000</v>
      </c>
      <c r="C17" s="140">
        <f>'8a) OK 2019'!C431</f>
        <v>101701450.89</v>
      </c>
      <c r="D17" s="161">
        <f>'8a) OK 2019'!D431</f>
        <v>89646891.870000005</v>
      </c>
    </row>
    <row r="18" spans="1:4" x14ac:dyDescent="0.2">
      <c r="A18" s="160" t="s">
        <v>223</v>
      </c>
      <c r="B18" s="140">
        <f>'8b) Projekty spolufinancované'!B245</f>
        <v>11636000</v>
      </c>
      <c r="C18" s="140">
        <f>'8b) Projekty spolufinancované'!C245</f>
        <v>13143074.550000001</v>
      </c>
      <c r="D18" s="161">
        <f>'8b) Projekty spolufinancované'!D245</f>
        <v>11982227.130000001</v>
      </c>
    </row>
    <row r="19" spans="1:4" x14ac:dyDescent="0.2">
      <c r="A19" s="160" t="s">
        <v>187</v>
      </c>
      <c r="B19" s="140">
        <f>'8c) SMN'!B23</f>
        <v>25788000</v>
      </c>
      <c r="C19" s="140">
        <f>'8c) SMN'!C23</f>
        <v>23100402.34</v>
      </c>
      <c r="D19" s="161">
        <f>'8c) SMN'!D23</f>
        <v>20116843.140000001</v>
      </c>
    </row>
    <row r="20" spans="1:4" ht="15.75" x14ac:dyDescent="0.25">
      <c r="A20" s="162" t="s">
        <v>69</v>
      </c>
      <c r="B20" s="163">
        <f>SUM(B21)</f>
        <v>2475000</v>
      </c>
      <c r="C20" s="163">
        <f t="shared" ref="C20:D20" si="2">SUM(C21)</f>
        <v>5107019.57</v>
      </c>
      <c r="D20" s="164">
        <f t="shared" si="2"/>
        <v>4627024.7</v>
      </c>
    </row>
    <row r="21" spans="1:4" x14ac:dyDescent="0.2">
      <c r="A21" s="160" t="s">
        <v>223</v>
      </c>
      <c r="B21" s="140">
        <f>'8b) Projekty spolufinancované'!B246</f>
        <v>2475000</v>
      </c>
      <c r="C21" s="140">
        <f>'8b) Projekty spolufinancované'!C246</f>
        <v>5107019.57</v>
      </c>
      <c r="D21" s="161">
        <f>'8b) Projekty spolufinancované'!D246</f>
        <v>4627024.7</v>
      </c>
    </row>
    <row r="22" spans="1:4" ht="15.75" x14ac:dyDescent="0.25">
      <c r="A22" s="162" t="s">
        <v>53</v>
      </c>
      <c r="B22" s="163">
        <f>SUM(B23:B23)</f>
        <v>648000</v>
      </c>
      <c r="C22" s="163">
        <f>SUM(C23:C23)</f>
        <v>6249649.1200000001</v>
      </c>
      <c r="D22" s="164">
        <f>SUM(D23:D23)</f>
        <v>6190119.6900000004</v>
      </c>
    </row>
    <row r="23" spans="1:4" x14ac:dyDescent="0.2">
      <c r="A23" s="160" t="s">
        <v>223</v>
      </c>
      <c r="B23" s="140">
        <f>'8b) Projekty spolufinancované'!B247</f>
        <v>648000</v>
      </c>
      <c r="C23" s="140">
        <f>'8b) Projekty spolufinancované'!C247</f>
        <v>6249649.1200000001</v>
      </c>
      <c r="D23" s="161">
        <f>'8b) Projekty spolufinancované'!D247</f>
        <v>6190119.6900000004</v>
      </c>
    </row>
    <row r="24" spans="1:4" ht="15.75" customHeight="1" x14ac:dyDescent="0.25">
      <c r="A24" s="165" t="s">
        <v>33</v>
      </c>
      <c r="B24" s="166">
        <f>SUM(B25:B25)</f>
        <v>2907000</v>
      </c>
      <c r="C24" s="166">
        <f>SUM(C25:C25)</f>
        <v>28280997.300000001</v>
      </c>
      <c r="D24" s="186">
        <f>SUM(D25:D25)</f>
        <v>28208342.800000001</v>
      </c>
    </row>
    <row r="25" spans="1:4" x14ac:dyDescent="0.2">
      <c r="A25" s="160" t="s">
        <v>223</v>
      </c>
      <c r="B25" s="140">
        <f>'8b) Projekty spolufinancované'!B248</f>
        <v>2907000</v>
      </c>
      <c r="C25" s="140">
        <f>'8b) Projekty spolufinancované'!C248</f>
        <v>28280997.300000001</v>
      </c>
      <c r="D25" s="161">
        <f>'8b) Projekty spolufinancované'!D248</f>
        <v>28208342.800000001</v>
      </c>
    </row>
    <row r="26" spans="1:4" ht="18" customHeight="1" x14ac:dyDescent="0.25">
      <c r="A26" s="165" t="s">
        <v>411</v>
      </c>
      <c r="B26" s="166">
        <f>SUM(B27:B27)</f>
        <v>0</v>
      </c>
      <c r="C26" s="166">
        <f>SUM(C27:C27)</f>
        <v>765000</v>
      </c>
      <c r="D26" s="186">
        <f>SUM(D27:D27)</f>
        <v>534724</v>
      </c>
    </row>
    <row r="27" spans="1:4" x14ac:dyDescent="0.2">
      <c r="A27" s="160" t="s">
        <v>223</v>
      </c>
      <c r="B27" s="140">
        <f>'8b) Projekty spolufinancované'!B235</f>
        <v>0</v>
      </c>
      <c r="C27" s="140">
        <f>'8b) Projekty spolufinancované'!C235</f>
        <v>765000</v>
      </c>
      <c r="D27" s="161">
        <f>'8b) Projekty spolufinancované'!D235</f>
        <v>534724</v>
      </c>
    </row>
    <row r="28" spans="1:4" ht="15.75" x14ac:dyDescent="0.25">
      <c r="A28" s="162" t="s">
        <v>26</v>
      </c>
      <c r="B28" s="163">
        <f>SUM(B29:B29)</f>
        <v>20620000</v>
      </c>
      <c r="C28" s="163">
        <f>SUM(C29:C29)</f>
        <v>32181017.460000001</v>
      </c>
      <c r="D28" s="164">
        <f>SUM(D29:D29)</f>
        <v>30785932.879999999</v>
      </c>
    </row>
    <row r="29" spans="1:4" ht="13.5" thickBot="1" x14ac:dyDescent="0.25">
      <c r="A29" s="160" t="s">
        <v>25</v>
      </c>
      <c r="B29" s="140">
        <f>'8a) OK 2019'!B423</f>
        <v>20620000</v>
      </c>
      <c r="C29" s="140">
        <f>'8a) OK 2019'!C423</f>
        <v>32181017.460000001</v>
      </c>
      <c r="D29" s="161">
        <f>'8a) OK 2019'!D423</f>
        <v>30785932.879999999</v>
      </c>
    </row>
    <row r="30" spans="1:4" ht="17.25" thickTop="1" thickBot="1" x14ac:dyDescent="0.3">
      <c r="A30" s="19" t="s">
        <v>27</v>
      </c>
      <c r="B30" s="20">
        <f>SUM(B4,B7,B13,B10,B16,B22,B24,B28,B20,B26)</f>
        <v>1415200000</v>
      </c>
      <c r="C30" s="20">
        <f t="shared" ref="C30:D30" si="3">SUM(C4,C7,C13,C10,C16,C22,C24,C28,C20,C26)</f>
        <v>1838047810.25</v>
      </c>
      <c r="D30" s="490">
        <f t="shared" si="3"/>
        <v>1660297551.1800005</v>
      </c>
    </row>
    <row r="31" spans="1:4" ht="16.5" thickTop="1" x14ac:dyDescent="0.25">
      <c r="A31" s="535"/>
      <c r="B31" s="21"/>
      <c r="C31" s="21"/>
      <c r="D31" s="21"/>
    </row>
    <row r="32" spans="1:4" ht="15.75" x14ac:dyDescent="0.25">
      <c r="A32" s="535"/>
      <c r="B32" s="21"/>
      <c r="C32" s="21"/>
      <c r="D32" s="21"/>
    </row>
    <row r="33" spans="1:16" ht="15.75" x14ac:dyDescent="0.25">
      <c r="A33" s="23" t="s">
        <v>225</v>
      </c>
      <c r="B33" s="21"/>
      <c r="C33" s="21"/>
      <c r="D33" s="21"/>
    </row>
    <row r="34" spans="1:16" ht="16.5" thickBot="1" x14ac:dyDescent="0.3">
      <c r="A34" s="23"/>
      <c r="B34" s="21"/>
      <c r="C34" s="21"/>
      <c r="D34" s="10" t="s">
        <v>18</v>
      </c>
    </row>
    <row r="35" spans="1:16" ht="15.75" thickTop="1" thickBot="1" x14ac:dyDescent="0.25">
      <c r="A35" s="11"/>
      <c r="B35" s="12" t="s">
        <v>0</v>
      </c>
      <c r="C35" s="13" t="s">
        <v>1</v>
      </c>
      <c r="D35" s="14" t="s">
        <v>4</v>
      </c>
      <c r="F35" s="633" t="s">
        <v>385</v>
      </c>
      <c r="G35" s="634"/>
    </row>
    <row r="36" spans="1:16" ht="15.75" thickTop="1" thickBot="1" x14ac:dyDescent="0.25">
      <c r="A36" s="24" t="s">
        <v>226</v>
      </c>
      <c r="B36" s="25">
        <f>B29+B17+B14+B11+B8+B5</f>
        <v>1036345000</v>
      </c>
      <c r="C36" s="25">
        <f t="shared" ref="C36:D36" si="4">C29+C17+C14+C11+C8+C5</f>
        <v>945033579.24000001</v>
      </c>
      <c r="D36" s="600">
        <f t="shared" si="4"/>
        <v>835101012.66000009</v>
      </c>
      <c r="F36" s="583"/>
      <c r="G36" s="584"/>
    </row>
    <row r="37" spans="1:16" ht="15" thickTop="1" x14ac:dyDescent="0.2">
      <c r="A37" s="167" t="s">
        <v>227</v>
      </c>
      <c r="B37" s="168">
        <f>B27+B25+B23+B21+B18+B15+B12+B9+B6</f>
        <v>353067000</v>
      </c>
      <c r="C37" s="168">
        <f>C27+C25+C23+C21+C18+C15+C12+C9+C6</f>
        <v>869913828.67000008</v>
      </c>
      <c r="D37" s="489">
        <f>D27+D25+D23+D21+D18+D15+D12+D9+D6</f>
        <v>805079695.37999988</v>
      </c>
      <c r="F37" s="482" t="s">
        <v>215</v>
      </c>
      <c r="G37" s="485">
        <f>C49-D49</f>
        <v>9117005.950000003</v>
      </c>
    </row>
    <row r="38" spans="1:16" s="22" customFormat="1" ht="15" thickBot="1" x14ac:dyDescent="0.25">
      <c r="A38" s="167" t="s">
        <v>228</v>
      </c>
      <c r="B38" s="168">
        <f>B19</f>
        <v>25788000</v>
      </c>
      <c r="C38" s="168">
        <f>C19</f>
        <v>23100402.34</v>
      </c>
      <c r="D38" s="489">
        <f>D19</f>
        <v>20116843.140000001</v>
      </c>
      <c r="F38" s="481" t="s">
        <v>214</v>
      </c>
      <c r="G38" s="486">
        <v>-9117005.9499999993</v>
      </c>
    </row>
    <row r="39" spans="1:16" s="22" customFormat="1" ht="17.25" thickTop="1" thickBot="1" x14ac:dyDescent="0.3">
      <c r="A39" s="19" t="s">
        <v>27</v>
      </c>
      <c r="B39" s="20">
        <f>SUM(B36:B38)</f>
        <v>1415200000</v>
      </c>
      <c r="C39" s="20">
        <f t="shared" ref="C39:D39" si="5">SUM(C36:C38)</f>
        <v>1838047810.25</v>
      </c>
      <c r="D39" s="490">
        <f t="shared" si="5"/>
        <v>1660297551.1800001</v>
      </c>
      <c r="F39" s="483"/>
      <c r="G39" s="484">
        <f>SUM(G36:G38)</f>
        <v>0</v>
      </c>
    </row>
    <row r="40" spans="1:16" s="22" customFormat="1" ht="17.25" thickTop="1" thickBot="1" x14ac:dyDescent="0.3">
      <c r="A40" s="535"/>
      <c r="B40" s="21"/>
      <c r="C40" s="21"/>
      <c r="D40" s="21"/>
    </row>
    <row r="41" spans="1:16" s="22" customFormat="1" ht="16.5" thickBot="1" x14ac:dyDescent="0.3">
      <c r="A41" s="535"/>
      <c r="B41" s="21"/>
      <c r="C41" s="21"/>
      <c r="D41" s="21"/>
      <c r="F41" s="633" t="s">
        <v>383</v>
      </c>
      <c r="G41" s="634"/>
    </row>
    <row r="42" spans="1:16" s="22" customFormat="1" ht="17.25" thickTop="1" thickBot="1" x14ac:dyDescent="0.3">
      <c r="A42" s="23" t="s">
        <v>229</v>
      </c>
      <c r="B42" s="21"/>
      <c r="C42" s="21"/>
      <c r="D42" s="21"/>
      <c r="F42" s="583"/>
      <c r="G42" s="584"/>
    </row>
    <row r="43" spans="1:16" s="22" customFormat="1" ht="17.25" thickTop="1" thickBot="1" x14ac:dyDescent="0.3">
      <c r="A43" s="23"/>
      <c r="B43" s="21"/>
      <c r="C43" s="21"/>
      <c r="D43" s="10" t="s">
        <v>18</v>
      </c>
      <c r="F43" s="482" t="s">
        <v>215</v>
      </c>
      <c r="G43" s="485">
        <f>C47-D47</f>
        <v>0</v>
      </c>
    </row>
    <row r="44" spans="1:16" s="22" customFormat="1" ht="14.25" thickTop="1" thickBot="1" x14ac:dyDescent="0.25">
      <c r="A44" s="11"/>
      <c r="B44" s="12" t="s">
        <v>0</v>
      </c>
      <c r="C44" s="13" t="s">
        <v>1</v>
      </c>
      <c r="D44" s="14" t="s">
        <v>4</v>
      </c>
      <c r="F44" s="481" t="s">
        <v>384</v>
      </c>
      <c r="G44" s="486">
        <v>0</v>
      </c>
    </row>
    <row r="45" spans="1:16" s="26" customFormat="1" ht="15.75" thickTop="1" thickBot="1" x14ac:dyDescent="0.25">
      <c r="A45" s="24" t="s">
        <v>230</v>
      </c>
      <c r="B45" s="25">
        <f>'8a) OK 2019'!J427+'8a) OK 2019'!J428+'8a) OK 2019'!J430+'8a) OK 2019'!J432+'8a) OK 2019'!J433+'8a) OK 2019'!J434+'8a) OK 2019'!J435+'8a) OK 2019'!J436+'8b) Projekty spolufinancované'!J255+'8c) SMN'!I18+'8c) SMN'!I19</f>
        <v>1320204000</v>
      </c>
      <c r="C45" s="25">
        <f>'8a) OK 2019'!K427+'8a) OK 2019'!K428+'8a) OK 2019'!K430+'8a) OK 2019'!K432+'8a) OK 2019'!K433+'8a) OK 2019'!K434+'8a) OK 2019'!K435+'8a) OK 2019'!K436+'8b) Projekty spolufinancované'!K255+'8c) SMN'!J18+'8c) SMN'!J19</f>
        <v>1230465503.5900002</v>
      </c>
      <c r="D45" s="600">
        <f>'8a) OK 2019'!L427+'8a) OK 2019'!L428+'8a) OK 2019'!L430+'8a) OK 2019'!L432+'8a) OK 2019'!L433+'8a) OK 2019'!L434+'8a) OK 2019'!L435+'8a) OK 2019'!L436+'8b) Projekty spolufinancované'!L255+'8c) SMN'!K18+'8c) SMN'!K19</f>
        <v>1062491891.6599998</v>
      </c>
      <c r="F45" s="483"/>
      <c r="G45" s="484">
        <f>SUM(G42:G44)</f>
        <v>0</v>
      </c>
      <c r="N45" s="538"/>
      <c r="O45" s="538"/>
      <c r="P45" s="538"/>
    </row>
    <row r="46" spans="1:16" s="26" customFormat="1" ht="15" thickBot="1" x14ac:dyDescent="0.25">
      <c r="A46" s="167" t="s">
        <v>231</v>
      </c>
      <c r="B46" s="168">
        <f>'8b) Projekty spolufinancované'!J256</f>
        <v>0</v>
      </c>
      <c r="C46" s="168">
        <f>'8b) Projekty spolufinancované'!K256</f>
        <v>46540549.799999997</v>
      </c>
      <c r="D46" s="489">
        <f>'8b) Projekty spolufinancované'!L256</f>
        <v>45880908.799999997</v>
      </c>
      <c r="N46" s="538"/>
      <c r="O46" s="538"/>
      <c r="P46" s="538"/>
    </row>
    <row r="47" spans="1:16" s="26" customFormat="1" ht="15" thickBot="1" x14ac:dyDescent="0.25">
      <c r="A47" s="167" t="s">
        <v>380</v>
      </c>
      <c r="B47" s="168">
        <f>'8a) OK 2019'!J429+'8a) OK 2019'!J431</f>
        <v>63266000</v>
      </c>
      <c r="C47" s="168">
        <f>'8a) OK 2019'!K429+'8a) OK 2019'!K431</f>
        <v>76069209.810000002</v>
      </c>
      <c r="D47" s="489">
        <f>'8a) OK 2019'!L429+'8a) OK 2019'!L431</f>
        <v>76069209.810000002</v>
      </c>
      <c r="F47" s="633" t="s">
        <v>386</v>
      </c>
      <c r="G47" s="634"/>
      <c r="N47" s="538"/>
      <c r="O47" s="538"/>
      <c r="P47" s="538"/>
    </row>
    <row r="48" spans="1:16" s="26" customFormat="1" ht="15.75" thickTop="1" thickBot="1" x14ac:dyDescent="0.25">
      <c r="A48" s="167" t="s">
        <v>381</v>
      </c>
      <c r="B48" s="168">
        <f>'8b) Projekty spolufinancované'!J253+'8c) SMN'!I20</f>
        <v>0</v>
      </c>
      <c r="C48" s="168">
        <f>'8b) Projekty spolufinancované'!K253+'8c) SMN'!J20</f>
        <v>447224555.10000008</v>
      </c>
      <c r="D48" s="489">
        <f>'8b) Projekty spolufinancované'!L253+'8c) SMN'!K20</f>
        <v>447224554.91000009</v>
      </c>
      <c r="F48" s="583"/>
      <c r="G48" s="584"/>
      <c r="H48" s="474" t="s">
        <v>213</v>
      </c>
      <c r="I48" s="175">
        <f>'8a) OK 2019'!J432</f>
        <v>0</v>
      </c>
      <c r="J48" s="175">
        <f>'8a) OK 2019'!K432</f>
        <v>0</v>
      </c>
      <c r="K48" s="175">
        <f>'8a) OK 2019'!L432</f>
        <v>0</v>
      </c>
      <c r="N48" s="538"/>
      <c r="O48" s="538"/>
      <c r="P48" s="538"/>
    </row>
    <row r="49" spans="1:16" s="26" customFormat="1" ht="15.75" thickTop="1" thickBot="1" x14ac:dyDescent="0.25">
      <c r="A49" s="167" t="s">
        <v>382</v>
      </c>
      <c r="B49" s="168">
        <f>'8b) Projekty spolufinancované'!J254</f>
        <v>31730000</v>
      </c>
      <c r="C49" s="168">
        <f>'8b) Projekty spolufinancované'!K254</f>
        <v>37747991.950000003</v>
      </c>
      <c r="D49" s="489">
        <f>'8b) Projekty spolufinancované'!L254</f>
        <v>28630986</v>
      </c>
      <c r="F49" s="482" t="s">
        <v>215</v>
      </c>
      <c r="G49" s="485">
        <f>C48-D48</f>
        <v>0.18999999761581421</v>
      </c>
      <c r="H49" s="474" t="s">
        <v>39</v>
      </c>
      <c r="I49" s="175">
        <f>'8a) OK 2019'!J433</f>
        <v>2200000</v>
      </c>
      <c r="J49" s="175">
        <f>'8a) OK 2019'!K433</f>
        <v>3335000</v>
      </c>
      <c r="K49" s="175">
        <f>'8a) OK 2019'!L433</f>
        <v>2914279.27</v>
      </c>
      <c r="N49" s="538"/>
      <c r="O49" s="538"/>
      <c r="P49" s="538"/>
    </row>
    <row r="50" spans="1:16" s="27" customFormat="1" ht="17.25" thickTop="1" thickBot="1" x14ac:dyDescent="0.3">
      <c r="A50" s="19" t="s">
        <v>27</v>
      </c>
      <c r="B50" s="20">
        <f>SUM(B45:B49)</f>
        <v>1415200000</v>
      </c>
      <c r="C50" s="20">
        <f t="shared" ref="C50:D50" si="6">SUM(C45:C49)</f>
        <v>1838047810.2500002</v>
      </c>
      <c r="D50" s="490">
        <f t="shared" si="6"/>
        <v>1660297551.1799998</v>
      </c>
      <c r="F50" s="481" t="s">
        <v>214</v>
      </c>
      <c r="G50" s="486">
        <v>-0.19</v>
      </c>
      <c r="H50" s="474" t="s">
        <v>255</v>
      </c>
      <c r="I50" s="175">
        <f>'8a) OK 2019'!J434</f>
        <v>3620000</v>
      </c>
      <c r="J50" s="175">
        <f>'8a) OK 2019'!K434</f>
        <v>12278117.460000001</v>
      </c>
      <c r="K50" s="175">
        <f>'8a) OK 2019'!L434</f>
        <v>12107652.609999999</v>
      </c>
      <c r="N50" s="538"/>
      <c r="O50" s="538"/>
      <c r="P50" s="538"/>
    </row>
    <row r="51" spans="1:16" s="27" customFormat="1" ht="17.25" customHeight="1" thickTop="1" thickBot="1" x14ac:dyDescent="0.25">
      <c r="B51" s="532"/>
      <c r="D51" s="532"/>
      <c r="F51" s="585"/>
      <c r="G51" s="586">
        <f>SUM(G48:G50)</f>
        <v>-2.384185793236071E-9</v>
      </c>
      <c r="H51" s="474" t="s">
        <v>195</v>
      </c>
      <c r="I51" s="175">
        <f>'8a) OK 2019'!J436</f>
        <v>14800000</v>
      </c>
      <c r="J51" s="175">
        <f>'8a) OK 2019'!K436</f>
        <v>16567900</v>
      </c>
      <c r="K51" s="175">
        <f>'8a) OK 2019'!L436</f>
        <v>15764001</v>
      </c>
      <c r="N51" s="532"/>
      <c r="O51" s="532"/>
      <c r="P51" s="532"/>
    </row>
    <row r="52" spans="1:16" s="22" customFormat="1" ht="17.25" customHeight="1" x14ac:dyDescent="0.2">
      <c r="B52" s="534"/>
      <c r="F52" s="587"/>
      <c r="G52" s="588"/>
      <c r="H52" s="475" t="s">
        <v>35</v>
      </c>
      <c r="I52" s="128">
        <f>'8a) OK 2019'!J427</f>
        <v>6821000</v>
      </c>
      <c r="J52" s="128">
        <f>'8a) OK 2019'!K427</f>
        <v>12870855</v>
      </c>
      <c r="K52" s="128">
        <f>'8a) OK 2019'!L427</f>
        <v>9546107.7899999991</v>
      </c>
    </row>
    <row r="53" spans="1:16" s="22" customFormat="1" x14ac:dyDescent="0.2">
      <c r="A53" s="635"/>
      <c r="B53" s="635"/>
      <c r="C53" s="635"/>
      <c r="D53" s="635"/>
      <c r="F53" s="111"/>
      <c r="G53" s="28"/>
      <c r="H53" s="476" t="s">
        <v>32</v>
      </c>
      <c r="I53" s="125">
        <f>'8a) OK 2019'!J428+'8a) OK 2019'!J429</f>
        <v>681979000</v>
      </c>
      <c r="J53" s="125">
        <f>'8a) OK 2019'!K428+'8a) OK 2019'!K429</f>
        <v>509791513.37</v>
      </c>
      <c r="K53" s="125">
        <f>'8a) OK 2019'!L428+'8a) OK 2019'!L429</f>
        <v>404578778.58000004</v>
      </c>
    </row>
    <row r="54" spans="1:16" s="22" customFormat="1" x14ac:dyDescent="0.2">
      <c r="A54" s="635"/>
      <c r="B54" s="635"/>
      <c r="C54" s="635"/>
      <c r="D54" s="635"/>
      <c r="F54" s="534"/>
      <c r="H54" s="477" t="s">
        <v>38</v>
      </c>
      <c r="I54" s="172">
        <f>'8b) Projekty spolufinancované'!J245</f>
        <v>133873000</v>
      </c>
      <c r="J54" s="172">
        <f>'8b) Projekty spolufinancované'!K245</f>
        <v>435163221.18000007</v>
      </c>
      <c r="K54" s="172">
        <f>'8b) Projekty spolufinancované'!L245</f>
        <v>400982598.16000009</v>
      </c>
    </row>
    <row r="55" spans="1:16" s="28" customFormat="1" ht="15.75" x14ac:dyDescent="0.25">
      <c r="A55" s="592"/>
      <c r="B55" s="593"/>
      <c r="C55" s="592"/>
      <c r="D55" s="592"/>
      <c r="H55" s="478" t="s">
        <v>40</v>
      </c>
      <c r="I55" s="182">
        <f>'8b) Projekty spolufinancované'!J246</f>
        <v>163572000</v>
      </c>
      <c r="J55" s="182">
        <f>'8b) Projekty spolufinancované'!K246</f>
        <v>302206283.94</v>
      </c>
      <c r="K55" s="182">
        <f>'8b) Projekty spolufinancované'!L246</f>
        <v>275984472.43000001</v>
      </c>
    </row>
    <row r="56" spans="1:16" s="28" customFormat="1" x14ac:dyDescent="0.2">
      <c r="A56" s="110"/>
      <c r="B56" s="111"/>
      <c r="E56" s="111"/>
      <c r="F56" s="110"/>
      <c r="G56" s="111"/>
      <c r="H56" s="479" t="s">
        <v>36</v>
      </c>
      <c r="I56" s="181">
        <f>'8b) Projekty spolufinancované'!J247</f>
        <v>17249000</v>
      </c>
      <c r="J56" s="181">
        <f>'8b) Projekty spolufinancované'!K247</f>
        <v>64616746.310000002</v>
      </c>
      <c r="K56" s="181">
        <f>'8b) Projekty spolufinancované'!L247</f>
        <v>62643227.299999997</v>
      </c>
      <c r="L56" s="109"/>
      <c r="M56" s="109"/>
    </row>
    <row r="57" spans="1:16" s="28" customFormat="1" x14ac:dyDescent="0.2">
      <c r="A57" s="109"/>
      <c r="B57" s="109"/>
      <c r="E57" s="109"/>
      <c r="F57" s="109"/>
      <c r="G57" s="109"/>
      <c r="H57" s="480" t="s">
        <v>34</v>
      </c>
      <c r="I57" s="174">
        <f>'8a) OK 2019'!J430+'8a) OK 2019'!J431+'8b) Projekty spolufinancované'!J248</f>
        <v>365298000</v>
      </c>
      <c r="J57" s="174">
        <f>'8a) OK 2019'!K430+'8a) OK 2019'!K431+'8b) Projekty spolufinancované'!K248</f>
        <v>458117770.65000004</v>
      </c>
      <c r="K57" s="174">
        <f>'8a) OK 2019'!L430+'8a) OK 2019'!L431+'8b) Projekty spolufinancované'!L248</f>
        <v>455659590.90000004</v>
      </c>
      <c r="L57" s="109"/>
      <c r="M57" s="109"/>
    </row>
    <row r="58" spans="1:16" s="28" customFormat="1" x14ac:dyDescent="0.2">
      <c r="A58" s="109"/>
      <c r="B58" s="109"/>
      <c r="E58" s="109"/>
      <c r="F58" s="109"/>
      <c r="G58" s="109"/>
      <c r="H58" s="487" t="s">
        <v>222</v>
      </c>
      <c r="I58" s="488">
        <f>'8c) SMN'!I21</f>
        <v>25788000</v>
      </c>
      <c r="J58" s="488">
        <f>'8c) SMN'!J21</f>
        <v>23100402.34</v>
      </c>
      <c r="K58" s="488">
        <f>'8c) SMN'!K21</f>
        <v>20116843.140000001</v>
      </c>
      <c r="L58" s="109"/>
      <c r="M58" s="109"/>
    </row>
    <row r="59" spans="1:16" s="28" customFormat="1" ht="15" x14ac:dyDescent="0.25">
      <c r="H59" s="22"/>
      <c r="I59" s="146">
        <f>SUM(I48:I58)</f>
        <v>1415200000</v>
      </c>
      <c r="J59" s="146">
        <f>SUM(J48:J58)</f>
        <v>1838047810.25</v>
      </c>
      <c r="K59" s="146">
        <f>SUM(K48:K58)</f>
        <v>1660297551.1800003</v>
      </c>
    </row>
    <row r="60" spans="1:16" s="28" customFormat="1" x14ac:dyDescent="0.2"/>
    <row r="61" spans="1:16" s="28" customFormat="1" x14ac:dyDescent="0.2"/>
    <row r="62" spans="1:16" s="28" customFormat="1" x14ac:dyDescent="0.2">
      <c r="I62" s="590"/>
    </row>
    <row r="63" spans="1:16" s="28" customFormat="1" x14ac:dyDescent="0.2">
      <c r="K63" s="590"/>
    </row>
    <row r="64" spans="1:16" s="28" customFormat="1" x14ac:dyDescent="0.2"/>
    <row r="65" spans="10:10" s="28" customFormat="1" x14ac:dyDescent="0.2"/>
    <row r="66" spans="10:10" s="28" customFormat="1" x14ac:dyDescent="0.2">
      <c r="J66" s="537"/>
    </row>
    <row r="67" spans="10:10" s="28" customFormat="1" x14ac:dyDescent="0.2">
      <c r="J67" s="537"/>
    </row>
    <row r="68" spans="10:10" s="28" customFormat="1" x14ac:dyDescent="0.2">
      <c r="J68" s="537"/>
    </row>
    <row r="69" spans="10:10" s="28" customFormat="1" x14ac:dyDescent="0.2"/>
    <row r="70" spans="10:10" s="28" customFormat="1" x14ac:dyDescent="0.2"/>
    <row r="71" spans="10:10" s="28" customFormat="1" x14ac:dyDescent="0.2"/>
    <row r="72" spans="10:10" s="28" customFormat="1" x14ac:dyDescent="0.2"/>
    <row r="73" spans="10:10" s="28" customFormat="1" x14ac:dyDescent="0.2"/>
    <row r="74" spans="10:10" s="28" customFormat="1" x14ac:dyDescent="0.2"/>
  </sheetData>
  <mergeCells count="4">
    <mergeCell ref="F47:G47"/>
    <mergeCell ref="A53:D54"/>
    <mergeCell ref="F41:G41"/>
    <mergeCell ref="F35:G35"/>
  </mergeCells>
  <pageMargins left="0.78740157480314965" right="0.78740157480314965" top="0.98425196850393704" bottom="0.98425196850393704" header="0.51181102362204722" footer="0.51181102362204722"/>
  <pageSetup paperSize="9" scale="91" firstPageNumber="48" orientation="portrait" useFirstPageNumber="1" r:id="rId1"/>
  <headerFooter alignWithMargins="0">
    <oddFooter>&amp;L&amp;"Arial,Kurzíva"Zastupitelstvo Olomouckého kraje 22. 6. 2020
6. - Rozpočet Olomouckého kraje 2019 – závěrečný účet
Příloha č. 8: Přehled financování oprav a investic v roce 2019&amp;R&amp;"Arial,Kurzíva"Strana &amp;P (celkem 237)</oddFooter>
  </headerFooter>
  <ignoredErrors>
    <ignoredError sqref="B8:D8 B5:D5 B14:D14 B24:D24 B28:D28 B23:D23 B25:D25 B27:D2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0"/>
  <sheetViews>
    <sheetView showGridLines="0" view="pageBreakPreview" zoomScaleNormal="100" zoomScaleSheetLayoutView="100" workbookViewId="0">
      <selection activeCell="A41" sqref="A41"/>
    </sheetView>
  </sheetViews>
  <sheetFormatPr defaultColWidth="9.140625" defaultRowHeight="12.75" x14ac:dyDescent="0.2"/>
  <cols>
    <col min="1" max="1" width="36.140625" style="5" customWidth="1"/>
    <col min="2" max="2" width="19" style="5" customWidth="1"/>
    <col min="3" max="3" width="20.140625" style="5" customWidth="1"/>
    <col min="4" max="4" width="19.42578125" style="5" customWidth="1"/>
    <col min="5" max="5" width="3.28515625" style="5" customWidth="1"/>
    <col min="6" max="6" width="22.5703125" style="5" customWidth="1"/>
    <col min="7" max="7" width="13.5703125" style="5" customWidth="1"/>
    <col min="8" max="8" width="16.28515625" style="5" bestFit="1" customWidth="1"/>
    <col min="9" max="9" width="18.85546875" style="5" customWidth="1"/>
    <col min="10" max="10" width="17.85546875" style="5" customWidth="1"/>
    <col min="11" max="11" width="19.42578125" style="5" customWidth="1"/>
    <col min="12" max="12" width="5" style="5" customWidth="1"/>
    <col min="13" max="13" width="3.85546875" style="5" customWidth="1"/>
    <col min="14" max="14" width="17.28515625" style="5" bestFit="1" customWidth="1"/>
    <col min="15" max="15" width="17.42578125" style="5" customWidth="1"/>
    <col min="16" max="16" width="18.140625" style="5" customWidth="1"/>
    <col min="17" max="16384" width="9.140625" style="5"/>
  </cols>
  <sheetData>
    <row r="1" spans="1:9" ht="18" x14ac:dyDescent="0.25">
      <c r="A1" s="6" t="s">
        <v>521</v>
      </c>
      <c r="B1" s="7"/>
      <c r="C1" s="7"/>
      <c r="D1" s="7"/>
    </row>
    <row r="2" spans="1:9" ht="18.75" thickBot="1" x14ac:dyDescent="0.3">
      <c r="A2" s="8"/>
      <c r="B2" s="9"/>
      <c r="C2" s="9"/>
      <c r="D2" s="10" t="s">
        <v>18</v>
      </c>
    </row>
    <row r="3" spans="1:9" ht="14.25" thickTop="1" thickBot="1" x14ac:dyDescent="0.25">
      <c r="A3" s="11"/>
      <c r="B3" s="12" t="s">
        <v>0</v>
      </c>
      <c r="C3" s="13" t="s">
        <v>1</v>
      </c>
      <c r="D3" s="14" t="s">
        <v>4</v>
      </c>
    </row>
    <row r="4" spans="1:9" ht="16.5" thickTop="1" x14ac:dyDescent="0.25">
      <c r="A4" s="15" t="s">
        <v>7</v>
      </c>
      <c r="B4" s="163">
        <f>SUM(B5:B6)</f>
        <v>44975000</v>
      </c>
      <c r="C4" s="163">
        <f>SUM(C5:C6)</f>
        <v>56965728.589999996</v>
      </c>
      <c r="D4" s="164">
        <f>SUM(D5:D6)</f>
        <v>56652854.939999998</v>
      </c>
    </row>
    <row r="5" spans="1:9" x14ac:dyDescent="0.2">
      <c r="A5" s="160" t="s">
        <v>25</v>
      </c>
      <c r="B5" s="140">
        <f>'8a) OK 2019'!B99</f>
        <v>39150000</v>
      </c>
      <c r="C5" s="140">
        <f>'8a) OK 2019'!C99</f>
        <v>55691466.659999996</v>
      </c>
      <c r="D5" s="161">
        <f>'8a) OK 2019'!D99</f>
        <v>55691466.659999996</v>
      </c>
    </row>
    <row r="6" spans="1:9" x14ac:dyDescent="0.2">
      <c r="A6" s="160" t="s">
        <v>223</v>
      </c>
      <c r="B6" s="140">
        <f>'8b) Projekty spolufinancované'!B68</f>
        <v>5825000</v>
      </c>
      <c r="C6" s="140">
        <f>'8b) Projekty spolufinancované'!C68</f>
        <v>1274261.9300000002</v>
      </c>
      <c r="D6" s="161">
        <f>'8b) Projekty spolufinancované'!D68</f>
        <v>961388.28</v>
      </c>
    </row>
    <row r="7" spans="1:9" ht="15.75" x14ac:dyDescent="0.25">
      <c r="A7" s="162" t="s">
        <v>9</v>
      </c>
      <c r="B7" s="163">
        <f>SUM(B8:B9)</f>
        <v>26761000</v>
      </c>
      <c r="C7" s="163">
        <f>SUM(C8:C9)</f>
        <v>33442417.16</v>
      </c>
      <c r="D7" s="164">
        <f>SUM(D8:D9)</f>
        <v>33067417.16</v>
      </c>
    </row>
    <row r="8" spans="1:9" x14ac:dyDescent="0.2">
      <c r="A8" s="160" t="s">
        <v>25</v>
      </c>
      <c r="B8" s="140">
        <f>'8a) OK 2019'!B234</f>
        <v>26333000</v>
      </c>
      <c r="C8" s="140">
        <f>'8a) OK 2019'!C234</f>
        <v>33014417.16</v>
      </c>
      <c r="D8" s="161">
        <f>'8a) OK 2019'!D234</f>
        <v>33014417.16</v>
      </c>
      <c r="G8" s="16"/>
      <c r="H8" s="17"/>
      <c r="I8" s="18"/>
    </row>
    <row r="9" spans="1:9" x14ac:dyDescent="0.2">
      <c r="A9" s="160" t="s">
        <v>223</v>
      </c>
      <c r="B9" s="140">
        <f>'8b) Projekty spolufinancované'!B105</f>
        <v>428000</v>
      </c>
      <c r="C9" s="140">
        <f>'8b) Projekty spolufinancované'!C105</f>
        <v>428000</v>
      </c>
      <c r="D9" s="161">
        <f>'8b) Projekty spolufinancované'!D105</f>
        <v>53000</v>
      </c>
      <c r="G9" s="16"/>
      <c r="H9" s="17"/>
      <c r="I9" s="18"/>
    </row>
    <row r="10" spans="1:9" ht="15.75" x14ac:dyDescent="0.25">
      <c r="A10" s="162" t="s">
        <v>8</v>
      </c>
      <c r="B10" s="163">
        <f>SUM(B11:B12)</f>
        <v>14344000</v>
      </c>
      <c r="C10" s="163">
        <f t="shared" ref="C10:D10" si="0">SUM(C11:C12)</f>
        <v>11540209.399999999</v>
      </c>
      <c r="D10" s="164">
        <f t="shared" si="0"/>
        <v>9834809.459999999</v>
      </c>
    </row>
    <row r="11" spans="1:9" x14ac:dyDescent="0.2">
      <c r="A11" s="160" t="s">
        <v>25</v>
      </c>
      <c r="B11" s="140">
        <f>'8a) OK 2019'!B300</f>
        <v>12586000</v>
      </c>
      <c r="C11" s="140">
        <f>'8a) OK 2019'!C300</f>
        <v>9782209.3999999985</v>
      </c>
      <c r="D11" s="161">
        <f>'8a) OK 2019'!D300</f>
        <v>9782209.3999999985</v>
      </c>
    </row>
    <row r="12" spans="1:9" x14ac:dyDescent="0.2">
      <c r="A12" s="160" t="s">
        <v>223</v>
      </c>
      <c r="B12" s="140">
        <f>'8b) Projekty spolufinancované'!B127</f>
        <v>1758000</v>
      </c>
      <c r="C12" s="140">
        <f>'8b) Projekty spolufinancované'!C127</f>
        <v>1758000</v>
      </c>
      <c r="D12" s="161">
        <f>'8b) Projekty spolufinancované'!D127</f>
        <v>52600.06</v>
      </c>
    </row>
    <row r="13" spans="1:9" ht="15.75" x14ac:dyDescent="0.25">
      <c r="A13" s="162" t="s">
        <v>11</v>
      </c>
      <c r="B13" s="163">
        <f>SUM(B14:B15)</f>
        <v>239923000</v>
      </c>
      <c r="C13" s="163">
        <f>SUM(C14:C15)</f>
        <v>313625729.97000003</v>
      </c>
      <c r="D13" s="164">
        <f>SUM(D14:D15)</f>
        <v>313625729.97000003</v>
      </c>
    </row>
    <row r="14" spans="1:9" x14ac:dyDescent="0.2">
      <c r="A14" s="160" t="s">
        <v>25</v>
      </c>
      <c r="B14" s="140">
        <f>'8a) OK 2019'!B355</f>
        <v>209978000</v>
      </c>
      <c r="C14" s="140">
        <f>'8a) OK 2019'!C355</f>
        <v>249706548.30000001</v>
      </c>
      <c r="D14" s="161">
        <f>'8a) OK 2019'!D355</f>
        <v>249706548.30000001</v>
      </c>
    </row>
    <row r="15" spans="1:9" x14ac:dyDescent="0.2">
      <c r="A15" s="160" t="s">
        <v>223</v>
      </c>
      <c r="B15" s="140">
        <f>'8b) Projekty spolufinancované'!B159</f>
        <v>29945000</v>
      </c>
      <c r="C15" s="140">
        <f>'8b) Projekty spolufinancované'!C159</f>
        <v>63919181.670000002</v>
      </c>
      <c r="D15" s="161">
        <f>'8b) Projekty spolufinancované'!D159</f>
        <v>63919181.670000002</v>
      </c>
    </row>
    <row r="16" spans="1:9" ht="15.75" x14ac:dyDescent="0.25">
      <c r="A16" s="162" t="s">
        <v>10</v>
      </c>
      <c r="B16" s="163">
        <f>SUM(B17:B18)</f>
        <v>39295000</v>
      </c>
      <c r="C16" s="163">
        <f>SUM(C17:C18)</f>
        <v>42543685.530000001</v>
      </c>
      <c r="D16" s="164">
        <f>SUM(D17:D18)</f>
        <v>42478779.369999997</v>
      </c>
    </row>
    <row r="17" spans="1:7" x14ac:dyDescent="0.2">
      <c r="A17" s="160" t="s">
        <v>25</v>
      </c>
      <c r="B17" s="140">
        <f>'8a) OK 2019'!B392</f>
        <v>38878000</v>
      </c>
      <c r="C17" s="140">
        <f>'8a) OK 2019'!C392</f>
        <v>41995551.890000001</v>
      </c>
      <c r="D17" s="161">
        <f>'8a) OK 2019'!D392</f>
        <v>41995551.890000001</v>
      </c>
    </row>
    <row r="18" spans="1:7" ht="13.5" thickBot="1" x14ac:dyDescent="0.25">
      <c r="A18" s="160" t="s">
        <v>223</v>
      </c>
      <c r="B18" s="140">
        <f>'8b) Projekty spolufinancované'!B180</f>
        <v>417000</v>
      </c>
      <c r="C18" s="140">
        <f>'8b) Projekty spolufinancované'!C180</f>
        <v>548133.64</v>
      </c>
      <c r="D18" s="161">
        <f>'8b) Projekty spolufinancované'!D180</f>
        <v>483227.48</v>
      </c>
    </row>
    <row r="19" spans="1:7" ht="17.25" thickTop="1" thickBot="1" x14ac:dyDescent="0.3">
      <c r="A19" s="19" t="s">
        <v>27</v>
      </c>
      <c r="B19" s="20">
        <f>B16+B13+B10+B7+B4</f>
        <v>365298000</v>
      </c>
      <c r="C19" s="20">
        <f t="shared" ref="C19:D19" si="1">C16+C13+C10+C7+C4</f>
        <v>458117770.64999998</v>
      </c>
      <c r="D19" s="490">
        <f t="shared" si="1"/>
        <v>455659590.90000004</v>
      </c>
    </row>
    <row r="20" spans="1:7" ht="16.5" thickTop="1" x14ac:dyDescent="0.25">
      <c r="A20" s="535"/>
      <c r="B20" s="21"/>
      <c r="C20" s="21"/>
      <c r="D20" s="21"/>
    </row>
    <row r="21" spans="1:7" ht="15.75" x14ac:dyDescent="0.25">
      <c r="A21" s="535"/>
      <c r="B21" s="21"/>
      <c r="C21" s="21"/>
      <c r="D21" s="21"/>
    </row>
    <row r="22" spans="1:7" ht="15.75" x14ac:dyDescent="0.25">
      <c r="A22" s="23" t="s">
        <v>225</v>
      </c>
      <c r="B22" s="21"/>
      <c r="C22" s="21"/>
      <c r="D22" s="21"/>
    </row>
    <row r="23" spans="1:7" ht="16.5" thickBot="1" x14ac:dyDescent="0.3">
      <c r="A23" s="23"/>
      <c r="B23" s="21"/>
      <c r="C23" s="21"/>
      <c r="D23" s="10" t="s">
        <v>18</v>
      </c>
    </row>
    <row r="24" spans="1:7" ht="15.75" thickTop="1" thickBot="1" x14ac:dyDescent="0.25">
      <c r="A24" s="11"/>
      <c r="B24" s="12" t="s">
        <v>0</v>
      </c>
      <c r="C24" s="13" t="s">
        <v>1</v>
      </c>
      <c r="D24" s="14" t="s">
        <v>4</v>
      </c>
      <c r="F24" s="636"/>
      <c r="G24" s="636"/>
    </row>
    <row r="25" spans="1:7" ht="15" thickTop="1" x14ac:dyDescent="0.2">
      <c r="A25" s="24" t="s">
        <v>226</v>
      </c>
      <c r="B25" s="25">
        <f>B17+B14+B11+B8+B5</f>
        <v>326925000</v>
      </c>
      <c r="C25" s="25">
        <f>C17+C14+C11+C8+C5</f>
        <v>390190193.40999997</v>
      </c>
      <c r="D25" s="600">
        <f>D17+D14+D11+D8+D5</f>
        <v>390190193.40999997</v>
      </c>
      <c r="F25" s="596"/>
      <c r="G25" s="596"/>
    </row>
    <row r="26" spans="1:7" ht="15" thickBot="1" x14ac:dyDescent="0.25">
      <c r="A26" s="167" t="s">
        <v>227</v>
      </c>
      <c r="B26" s="168">
        <f>B18+B15+B6+B9+B12</f>
        <v>38373000</v>
      </c>
      <c r="C26" s="168">
        <f t="shared" ref="C26" si="2">C18+C15+C6+C9+C12</f>
        <v>67927577.24000001</v>
      </c>
      <c r="D26" s="168">
        <f>D18+D15+D6+D9+D12</f>
        <v>65469397.490000002</v>
      </c>
      <c r="F26" s="597"/>
      <c r="G26" s="598"/>
    </row>
    <row r="27" spans="1:7" s="22" customFormat="1" ht="17.25" thickTop="1" thickBot="1" x14ac:dyDescent="0.3">
      <c r="A27" s="19" t="s">
        <v>27</v>
      </c>
      <c r="B27" s="20">
        <f>SUM(B25:B26)</f>
        <v>365298000</v>
      </c>
      <c r="C27" s="20">
        <f>SUM(C25:C26)</f>
        <v>458117770.64999998</v>
      </c>
      <c r="D27" s="490">
        <f>SUM(D25:D26)</f>
        <v>455659590.89999998</v>
      </c>
      <c r="F27" s="594"/>
      <c r="G27" s="595"/>
    </row>
    <row r="28" spans="1:7" s="22" customFormat="1" ht="16.5" thickTop="1" x14ac:dyDescent="0.25">
      <c r="A28" s="535"/>
      <c r="B28" s="21"/>
      <c r="C28" s="21"/>
      <c r="D28" s="21"/>
      <c r="F28" s="592"/>
      <c r="G28" s="592"/>
    </row>
    <row r="29" spans="1:7" s="22" customFormat="1" ht="15.75" x14ac:dyDescent="0.25">
      <c r="A29" s="535"/>
      <c r="B29" s="21"/>
      <c r="C29" s="21"/>
      <c r="D29" s="21"/>
      <c r="F29" s="636"/>
      <c r="G29" s="636"/>
    </row>
    <row r="30" spans="1:7" s="22" customFormat="1" ht="15.75" x14ac:dyDescent="0.25">
      <c r="A30" s="23" t="s">
        <v>229</v>
      </c>
      <c r="B30" s="21"/>
      <c r="C30" s="21"/>
      <c r="D30" s="21"/>
      <c r="F30" s="596"/>
      <c r="G30" s="596"/>
    </row>
    <row r="31" spans="1:7" s="22" customFormat="1" ht="16.5" thickBot="1" x14ac:dyDescent="0.3">
      <c r="A31" s="23"/>
      <c r="B31" s="21"/>
      <c r="C31" s="21"/>
      <c r="D31" s="10" t="s">
        <v>18</v>
      </c>
      <c r="F31" s="597"/>
      <c r="G31" s="598"/>
    </row>
    <row r="32" spans="1:7" s="22" customFormat="1" ht="14.25" thickTop="1" thickBot="1" x14ac:dyDescent="0.25">
      <c r="A32" s="11"/>
      <c r="B32" s="12" t="s">
        <v>0</v>
      </c>
      <c r="C32" s="13" t="s">
        <v>1</v>
      </c>
      <c r="D32" s="14" t="s">
        <v>4</v>
      </c>
      <c r="F32" s="594"/>
      <c r="G32" s="595"/>
    </row>
    <row r="33" spans="1:16" s="26" customFormat="1" ht="15" thickTop="1" x14ac:dyDescent="0.2">
      <c r="A33" s="24" t="s">
        <v>230</v>
      </c>
      <c r="B33" s="25">
        <f>'8a) OK 2019'!J430+'8b) Projekty spolufinancované'!J248-B34</f>
        <v>338032000</v>
      </c>
      <c r="C33" s="25">
        <f>'8a) OK 2019'!K430+'8b) Projekty spolufinancované'!K248-C34</f>
        <v>394259672.68000001</v>
      </c>
      <c r="D33" s="25">
        <f>'8a) OK 2019'!L430+'8b) Projekty spolufinancované'!L248-D34</f>
        <v>391801492.93000001</v>
      </c>
      <c r="F33" s="594"/>
      <c r="G33" s="595"/>
      <c r="N33" s="538"/>
      <c r="O33" s="538"/>
      <c r="P33" s="538"/>
    </row>
    <row r="34" spans="1:16" s="26" customFormat="1" ht="14.25" x14ac:dyDescent="0.2">
      <c r="A34" s="167" t="s">
        <v>231</v>
      </c>
      <c r="B34" s="168">
        <f>'8b) Projekty spolufinancované'!B160</f>
        <v>0</v>
      </c>
      <c r="C34" s="168">
        <f>'8b) Projekty spolufinancované'!C160</f>
        <v>31032181.670000002</v>
      </c>
      <c r="D34" s="489">
        <f>'8b) Projekty spolufinancované'!D160</f>
        <v>31032181.670000002</v>
      </c>
      <c r="F34" s="599"/>
      <c r="G34" s="599"/>
      <c r="N34" s="538"/>
      <c r="O34" s="538"/>
      <c r="P34" s="538"/>
    </row>
    <row r="35" spans="1:16" s="26" customFormat="1" ht="15" thickBot="1" x14ac:dyDescent="0.25">
      <c r="A35" s="167" t="s">
        <v>380</v>
      </c>
      <c r="B35" s="168">
        <f>'8a) OK 2019'!J365</f>
        <v>27266000</v>
      </c>
      <c r="C35" s="168">
        <f>'8a) OK 2019'!K365</f>
        <v>32825916.300000001</v>
      </c>
      <c r="D35" s="168">
        <f>'8a) OK 2019'!L365</f>
        <v>32825916.300000001</v>
      </c>
      <c r="F35" s="636"/>
      <c r="G35" s="636"/>
      <c r="H35" s="474"/>
      <c r="I35" s="175"/>
      <c r="J35" s="175"/>
      <c r="K35" s="175"/>
      <c r="N35" s="538"/>
      <c r="O35" s="538"/>
      <c r="P35" s="538"/>
    </row>
    <row r="36" spans="1:16" s="27" customFormat="1" ht="17.25" thickTop="1" thickBot="1" x14ac:dyDescent="0.3">
      <c r="A36" s="19" t="s">
        <v>27</v>
      </c>
      <c r="B36" s="20">
        <f>SUM(B33:B35)</f>
        <v>365298000</v>
      </c>
      <c r="C36" s="20">
        <f>SUM(C33:C35)</f>
        <v>458117770.65000004</v>
      </c>
      <c r="D36" s="490">
        <f>SUM(D33:D35)</f>
        <v>455659590.90000004</v>
      </c>
      <c r="F36" s="594"/>
      <c r="G36" s="595"/>
      <c r="H36" s="474"/>
      <c r="I36" s="175"/>
      <c r="J36" s="175"/>
      <c r="K36" s="175"/>
      <c r="N36" s="538"/>
      <c r="O36" s="538"/>
      <c r="P36" s="538"/>
    </row>
    <row r="37" spans="1:16" s="27" customFormat="1" ht="17.25" customHeight="1" thickTop="1" x14ac:dyDescent="0.2">
      <c r="B37" s="532"/>
      <c r="D37" s="532"/>
      <c r="F37" s="594"/>
      <c r="G37" s="595"/>
      <c r="H37" s="474"/>
      <c r="I37" s="175"/>
      <c r="J37" s="175"/>
      <c r="K37" s="175"/>
      <c r="N37" s="532"/>
      <c r="O37" s="532"/>
      <c r="P37" s="532"/>
    </row>
    <row r="38" spans="1:16" s="22" customFormat="1" ht="17.25" customHeight="1" x14ac:dyDescent="0.2">
      <c r="B38" s="534"/>
      <c r="F38" s="594"/>
      <c r="G38" s="595"/>
      <c r="H38" s="475"/>
      <c r="I38" s="128"/>
      <c r="J38" s="128"/>
      <c r="K38" s="128"/>
    </row>
    <row r="39" spans="1:16" s="22" customFormat="1" x14ac:dyDescent="0.2">
      <c r="A39" s="635"/>
      <c r="B39" s="635"/>
      <c r="C39" s="635"/>
      <c r="D39" s="635"/>
      <c r="F39" s="111"/>
      <c r="G39" s="28"/>
      <c r="H39" s="476"/>
      <c r="I39" s="125"/>
      <c r="J39" s="125"/>
      <c r="K39" s="125"/>
    </row>
    <row r="40" spans="1:16" s="22" customFormat="1" x14ac:dyDescent="0.2">
      <c r="A40" s="635"/>
      <c r="B40" s="635"/>
      <c r="C40" s="635"/>
      <c r="D40" s="635"/>
      <c r="H40" s="477"/>
      <c r="I40" s="172"/>
      <c r="J40" s="172"/>
      <c r="K40" s="172"/>
    </row>
    <row r="41" spans="1:16" s="28" customFormat="1" ht="15.75" x14ac:dyDescent="0.25">
      <c r="A41" s="592"/>
      <c r="B41" s="593"/>
      <c r="C41" s="592"/>
      <c r="D41" s="592"/>
      <c r="H41" s="478"/>
      <c r="I41" s="182"/>
      <c r="J41" s="182"/>
      <c r="K41" s="182"/>
    </row>
    <row r="42" spans="1:16" s="28" customFormat="1" x14ac:dyDescent="0.2">
      <c r="A42" s="110"/>
      <c r="B42" s="111"/>
      <c r="E42" s="111"/>
      <c r="F42" s="110"/>
      <c r="G42" s="111"/>
      <c r="H42" s="479"/>
      <c r="I42" s="181"/>
      <c r="J42" s="181"/>
      <c r="K42" s="181"/>
      <c r="L42" s="109"/>
      <c r="M42" s="109"/>
    </row>
    <row r="43" spans="1:16" s="28" customFormat="1" x14ac:dyDescent="0.2">
      <c r="A43" s="109"/>
      <c r="B43" s="109"/>
      <c r="E43" s="109"/>
      <c r="F43" s="109"/>
      <c r="G43" s="109"/>
      <c r="H43" s="480"/>
      <c r="I43" s="174"/>
      <c r="J43" s="174"/>
      <c r="K43" s="174"/>
      <c r="L43" s="109"/>
      <c r="M43" s="109"/>
    </row>
    <row r="44" spans="1:16" s="28" customFormat="1" x14ac:dyDescent="0.2">
      <c r="A44" s="109"/>
      <c r="B44" s="109"/>
      <c r="E44" s="109"/>
      <c r="F44" s="109"/>
      <c r="G44" s="109"/>
      <c r="H44" s="487"/>
      <c r="I44" s="488"/>
      <c r="J44" s="488"/>
      <c r="K44" s="488"/>
      <c r="L44" s="109"/>
      <c r="M44" s="109"/>
    </row>
    <row r="45" spans="1:16" s="28" customFormat="1" ht="15" x14ac:dyDescent="0.25">
      <c r="H45" s="22"/>
      <c r="I45" s="146"/>
      <c r="J45" s="146"/>
      <c r="K45" s="146"/>
    </row>
    <row r="46" spans="1:16" s="28" customFormat="1" x14ac:dyDescent="0.2"/>
    <row r="47" spans="1:16" s="28" customFormat="1" x14ac:dyDescent="0.2"/>
    <row r="48" spans="1:16" s="28" customFormat="1" x14ac:dyDescent="0.2">
      <c r="I48" s="590"/>
    </row>
    <row r="49" spans="10:10" s="28" customFormat="1" x14ac:dyDescent="0.2"/>
    <row r="50" spans="10:10" s="28" customFormat="1" x14ac:dyDescent="0.2"/>
    <row r="51" spans="10:10" s="28" customFormat="1" x14ac:dyDescent="0.2"/>
    <row r="52" spans="10:10" s="28" customFormat="1" x14ac:dyDescent="0.2">
      <c r="J52" s="537"/>
    </row>
    <row r="53" spans="10:10" s="28" customFormat="1" x14ac:dyDescent="0.2">
      <c r="J53" s="537"/>
    </row>
    <row r="54" spans="10:10" s="28" customFormat="1" x14ac:dyDescent="0.2">
      <c r="J54" s="537"/>
    </row>
    <row r="55" spans="10:10" s="28" customFormat="1" x14ac:dyDescent="0.2"/>
    <row r="56" spans="10:10" s="28" customFormat="1" x14ac:dyDescent="0.2"/>
    <row r="57" spans="10:10" s="28" customFormat="1" x14ac:dyDescent="0.2"/>
    <row r="58" spans="10:10" s="28" customFormat="1" x14ac:dyDescent="0.2"/>
    <row r="59" spans="10:10" s="28" customFormat="1" x14ac:dyDescent="0.2"/>
    <row r="60" spans="10:10" s="28" customFormat="1" x14ac:dyDescent="0.2"/>
  </sheetData>
  <mergeCells count="4">
    <mergeCell ref="F24:G24"/>
    <mergeCell ref="F29:G29"/>
    <mergeCell ref="F35:G35"/>
    <mergeCell ref="A39:D40"/>
  </mergeCells>
  <pageMargins left="0.78740157480314965" right="0.78740157480314965" top="0.98425196850393704" bottom="0.98425196850393704" header="0.51181102362204722" footer="0.51181102362204722"/>
  <pageSetup paperSize="9" scale="91" firstPageNumber="168" orientation="portrait" useFirstPageNumber="1" r:id="rId1"/>
  <headerFooter alignWithMargins="0"/>
  <ignoredErrors>
    <ignoredError sqref="B8:D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49"/>
  <sheetViews>
    <sheetView showGridLines="0" view="pageBreakPreview" topLeftCell="A391" zoomScaleNormal="100" zoomScaleSheetLayoutView="100" workbookViewId="0">
      <selection activeCell="A41" sqref="A41"/>
    </sheetView>
  </sheetViews>
  <sheetFormatPr defaultColWidth="9.140625" defaultRowHeight="12.75" x14ac:dyDescent="0.2"/>
  <cols>
    <col min="1" max="1" width="77.7109375" style="5" customWidth="1"/>
    <col min="2" max="2" width="17.140625" style="5" customWidth="1"/>
    <col min="3" max="3" width="17.28515625" style="5" customWidth="1"/>
    <col min="4" max="4" width="17.28515625" style="5" bestFit="1" customWidth="1"/>
    <col min="5" max="5" width="7.5703125" style="37" customWidth="1"/>
    <col min="6" max="6" width="8.85546875" style="93" customWidth="1"/>
    <col min="7" max="7" width="22.42578125" style="38" customWidth="1"/>
    <col min="8" max="8" width="9.85546875" style="38" customWidth="1"/>
    <col min="9" max="9" width="19.42578125" style="5" customWidth="1"/>
    <col min="10" max="10" width="18.28515625" style="5" customWidth="1"/>
    <col min="11" max="11" width="20.7109375" style="5" customWidth="1"/>
    <col min="12" max="12" width="17.5703125" style="5" customWidth="1"/>
    <col min="13" max="16384" width="9.140625" style="5"/>
  </cols>
  <sheetData>
    <row r="1" spans="1:12" s="32" customFormat="1" ht="18" x14ac:dyDescent="0.25">
      <c r="A1" s="29" t="s">
        <v>413</v>
      </c>
      <c r="B1" s="29"/>
      <c r="C1" s="29"/>
      <c r="D1" s="29"/>
      <c r="E1" s="29"/>
      <c r="F1" s="92"/>
      <c r="G1" s="30"/>
      <c r="H1" s="31"/>
    </row>
    <row r="2" spans="1:12" s="35" customFormat="1" ht="15.75" x14ac:dyDescent="0.25">
      <c r="A2" s="33" t="s">
        <v>114</v>
      </c>
      <c r="B2" s="34"/>
      <c r="C2" s="34"/>
      <c r="D2" s="34"/>
      <c r="E2" s="34"/>
      <c r="F2" s="92"/>
      <c r="G2" s="30"/>
      <c r="H2" s="31"/>
    </row>
    <row r="3" spans="1:12" ht="12" customHeight="1" x14ac:dyDescent="0.2"/>
    <row r="4" spans="1:12" ht="15" customHeight="1" x14ac:dyDescent="0.25">
      <c r="A4" s="36" t="s">
        <v>19</v>
      </c>
    </row>
    <row r="5" spans="1:12" ht="15.75" thickBot="1" x14ac:dyDescent="0.3">
      <c r="A5" s="39" t="s">
        <v>125</v>
      </c>
      <c r="D5" s="3"/>
      <c r="E5" s="40" t="s">
        <v>18</v>
      </c>
    </row>
    <row r="6" spans="1:12" ht="14.25" thickTop="1" thickBot="1" x14ac:dyDescent="0.25">
      <c r="A6" s="41" t="s">
        <v>5</v>
      </c>
      <c r="B6" s="42" t="s">
        <v>0</v>
      </c>
      <c r="C6" s="43" t="s">
        <v>1</v>
      </c>
      <c r="D6" s="44" t="s">
        <v>4</v>
      </c>
      <c r="E6" s="45" t="s">
        <v>6</v>
      </c>
    </row>
    <row r="7" spans="1:12" ht="15.75" thickTop="1" x14ac:dyDescent="0.25">
      <c r="A7" s="46" t="s">
        <v>7</v>
      </c>
      <c r="B7" s="47">
        <f>SUM(B8:B95)</f>
        <v>230547000</v>
      </c>
      <c r="C7" s="47">
        <f t="shared" ref="C7:D7" si="0">SUM(C8:C95)</f>
        <v>245997605.98000002</v>
      </c>
      <c r="D7" s="47">
        <f t="shared" si="0"/>
        <v>207329534.09000006</v>
      </c>
      <c r="E7" s="48">
        <f t="shared" ref="E7:E15" si="1">D7/C7*100</f>
        <v>84.281118616599983</v>
      </c>
      <c r="H7" s="57"/>
      <c r="I7" s="130"/>
      <c r="J7" s="131"/>
      <c r="K7" s="132"/>
    </row>
    <row r="8" spans="1:12" s="50" customFormat="1" x14ac:dyDescent="0.2">
      <c r="A8" s="233" t="s">
        <v>80</v>
      </c>
      <c r="B8" s="234">
        <v>9000000</v>
      </c>
      <c r="C8" s="235">
        <v>10023265.060000001</v>
      </c>
      <c r="D8" s="234">
        <v>9760200.0500000007</v>
      </c>
      <c r="E8" s="515">
        <f t="shared" si="1"/>
        <v>97.375455917555072</v>
      </c>
      <c r="F8" s="82">
        <v>100210</v>
      </c>
      <c r="G8" s="116" t="s">
        <v>32</v>
      </c>
      <c r="H8" s="133"/>
      <c r="I8" s="134"/>
      <c r="J8" s="134"/>
      <c r="K8" s="134"/>
    </row>
    <row r="9" spans="1:12" s="89" customFormat="1" ht="25.5" x14ac:dyDescent="0.2">
      <c r="A9" s="233" t="s">
        <v>435</v>
      </c>
      <c r="B9" s="234">
        <v>0</v>
      </c>
      <c r="C9" s="237">
        <v>199604</v>
      </c>
      <c r="D9" s="237">
        <v>99802</v>
      </c>
      <c r="E9" s="515">
        <f t="shared" si="1"/>
        <v>50</v>
      </c>
      <c r="F9" s="82">
        <v>100603</v>
      </c>
      <c r="G9" s="116" t="s">
        <v>32</v>
      </c>
      <c r="H9" s="135"/>
      <c r="I9" s="136"/>
      <c r="J9" s="136"/>
      <c r="K9" s="136"/>
    </row>
    <row r="10" spans="1:12" s="89" customFormat="1" x14ac:dyDescent="0.2">
      <c r="A10" s="233" t="s">
        <v>128</v>
      </c>
      <c r="B10" s="234">
        <v>0</v>
      </c>
      <c r="C10" s="237">
        <v>835115.95</v>
      </c>
      <c r="D10" s="237">
        <v>835115.95</v>
      </c>
      <c r="E10" s="515">
        <f t="shared" si="1"/>
        <v>100</v>
      </c>
      <c r="F10" s="82">
        <v>100704</v>
      </c>
      <c r="G10" s="116" t="s">
        <v>32</v>
      </c>
      <c r="H10" s="135"/>
      <c r="I10" s="136"/>
      <c r="J10" s="136"/>
      <c r="K10" s="136"/>
    </row>
    <row r="11" spans="1:12" s="89" customFormat="1" x14ac:dyDescent="0.2">
      <c r="A11" s="238" t="s">
        <v>272</v>
      </c>
      <c r="B11" s="234">
        <v>12253000</v>
      </c>
      <c r="C11" s="235">
        <v>9043070.9600000009</v>
      </c>
      <c r="D11" s="237">
        <v>8814400.9399999995</v>
      </c>
      <c r="E11" s="515">
        <f t="shared" si="1"/>
        <v>97.471323392114556</v>
      </c>
      <c r="F11" s="82">
        <v>100827</v>
      </c>
      <c r="G11" s="116" t="s">
        <v>32</v>
      </c>
      <c r="H11" s="88"/>
      <c r="I11" s="127"/>
      <c r="J11" s="128"/>
      <c r="K11" s="128"/>
      <c r="L11" s="128"/>
    </row>
    <row r="12" spans="1:12" s="89" customFormat="1" ht="25.5" x14ac:dyDescent="0.2">
      <c r="A12" s="238" t="s">
        <v>81</v>
      </c>
      <c r="B12" s="234">
        <v>20100000</v>
      </c>
      <c r="C12" s="235">
        <v>16719943.210000001</v>
      </c>
      <c r="D12" s="237">
        <v>16699008.619999999</v>
      </c>
      <c r="E12" s="515">
        <f t="shared" si="1"/>
        <v>99.87479269673905</v>
      </c>
      <c r="F12" s="82">
        <v>101020</v>
      </c>
      <c r="G12" s="116" t="s">
        <v>32</v>
      </c>
      <c r="H12" s="88"/>
      <c r="I12" s="127"/>
      <c r="J12" s="128"/>
      <c r="K12" s="128"/>
      <c r="L12" s="128"/>
    </row>
    <row r="13" spans="1:12" s="89" customFormat="1" x14ac:dyDescent="0.2">
      <c r="A13" s="238" t="s">
        <v>82</v>
      </c>
      <c r="B13" s="234">
        <v>21014000</v>
      </c>
      <c r="C13" s="235">
        <v>25354911.030000001</v>
      </c>
      <c r="D13" s="237">
        <v>25354911.030000001</v>
      </c>
      <c r="E13" s="515">
        <f t="shared" si="1"/>
        <v>100</v>
      </c>
      <c r="F13" s="82">
        <v>101116</v>
      </c>
      <c r="G13" s="116" t="s">
        <v>32</v>
      </c>
      <c r="H13" s="88"/>
      <c r="I13" s="127"/>
      <c r="J13" s="128"/>
      <c r="K13" s="128"/>
      <c r="L13" s="128"/>
    </row>
    <row r="14" spans="1:12" s="89" customFormat="1" ht="25.5" x14ac:dyDescent="0.2">
      <c r="A14" s="238" t="s">
        <v>83</v>
      </c>
      <c r="B14" s="234">
        <v>0</v>
      </c>
      <c r="C14" s="235">
        <v>2000</v>
      </c>
      <c r="D14" s="237">
        <v>2000</v>
      </c>
      <c r="E14" s="515">
        <f t="shared" si="1"/>
        <v>100</v>
      </c>
      <c r="F14" s="82">
        <v>101126</v>
      </c>
      <c r="G14" s="116" t="s">
        <v>32</v>
      </c>
      <c r="H14" s="88"/>
      <c r="I14" s="127"/>
      <c r="J14" s="128"/>
      <c r="K14" s="128"/>
      <c r="L14" s="128"/>
    </row>
    <row r="15" spans="1:12" s="89" customFormat="1" x14ac:dyDescent="0.2">
      <c r="A15" s="238" t="s">
        <v>84</v>
      </c>
      <c r="B15" s="234">
        <v>15000000</v>
      </c>
      <c r="C15" s="235">
        <v>14000000</v>
      </c>
      <c r="D15" s="237">
        <v>11926849.720000001</v>
      </c>
      <c r="E15" s="515">
        <f t="shared" si="1"/>
        <v>85.191783714285719</v>
      </c>
      <c r="F15" s="82">
        <v>101127</v>
      </c>
      <c r="G15" s="116" t="s">
        <v>32</v>
      </c>
      <c r="H15" s="88"/>
      <c r="I15" s="127"/>
      <c r="J15" s="128"/>
      <c r="K15" s="128"/>
      <c r="L15" s="128"/>
    </row>
    <row r="16" spans="1:12" s="89" customFormat="1" ht="25.5" x14ac:dyDescent="0.2">
      <c r="A16" s="238" t="s">
        <v>85</v>
      </c>
      <c r="B16" s="234">
        <v>0</v>
      </c>
      <c r="C16" s="235">
        <v>160000</v>
      </c>
      <c r="D16" s="237">
        <v>156453</v>
      </c>
      <c r="E16" s="236">
        <f t="shared" ref="E16:E79" si="2">D16/C16*100</f>
        <v>97.783124999999998</v>
      </c>
      <c r="F16" s="82">
        <v>101142</v>
      </c>
      <c r="G16" s="116" t="s">
        <v>32</v>
      </c>
      <c r="H16" s="88"/>
      <c r="I16" s="127"/>
      <c r="J16" s="128"/>
      <c r="K16" s="128"/>
      <c r="L16" s="128"/>
    </row>
    <row r="17" spans="1:12" s="89" customFormat="1" x14ac:dyDescent="0.2">
      <c r="A17" s="238" t="s">
        <v>86</v>
      </c>
      <c r="B17" s="234">
        <v>411000</v>
      </c>
      <c r="C17" s="235">
        <v>411000</v>
      </c>
      <c r="D17" s="237">
        <v>0</v>
      </c>
      <c r="E17" s="236">
        <f t="shared" si="2"/>
        <v>0</v>
      </c>
      <c r="F17" s="82">
        <v>101148</v>
      </c>
      <c r="G17" s="116" t="s">
        <v>32</v>
      </c>
      <c r="H17" s="187"/>
      <c r="I17" s="127"/>
      <c r="J17" s="128"/>
      <c r="K17" s="128"/>
      <c r="L17" s="128"/>
    </row>
    <row r="18" spans="1:12" s="89" customFormat="1" ht="25.5" x14ac:dyDescent="0.2">
      <c r="A18" s="238" t="s">
        <v>87</v>
      </c>
      <c r="B18" s="234">
        <v>50000</v>
      </c>
      <c r="C18" s="235">
        <v>111000</v>
      </c>
      <c r="D18" s="237">
        <v>0</v>
      </c>
      <c r="E18" s="236">
        <f t="shared" si="2"/>
        <v>0</v>
      </c>
      <c r="F18" s="82">
        <v>101150</v>
      </c>
      <c r="G18" s="116" t="s">
        <v>32</v>
      </c>
      <c r="H18" s="187"/>
      <c r="I18" s="127"/>
      <c r="J18" s="128"/>
      <c r="K18" s="128"/>
      <c r="L18" s="128"/>
    </row>
    <row r="19" spans="1:12" s="89" customFormat="1" ht="25.5" x14ac:dyDescent="0.2">
      <c r="A19" s="238" t="s">
        <v>160</v>
      </c>
      <c r="B19" s="234">
        <v>2000000</v>
      </c>
      <c r="C19" s="235">
        <v>535454.05000000005</v>
      </c>
      <c r="D19" s="237">
        <v>78650</v>
      </c>
      <c r="E19" s="236">
        <f t="shared" si="2"/>
        <v>14.688468599686564</v>
      </c>
      <c r="F19" s="82">
        <v>101165</v>
      </c>
      <c r="G19" s="116" t="s">
        <v>32</v>
      </c>
      <c r="H19" s="187"/>
      <c r="I19" s="127"/>
      <c r="J19" s="128"/>
      <c r="K19" s="128"/>
      <c r="L19" s="128"/>
    </row>
    <row r="20" spans="1:12" s="89" customFormat="1" x14ac:dyDescent="0.2">
      <c r="A20" s="238" t="s">
        <v>436</v>
      </c>
      <c r="B20" s="234">
        <v>0</v>
      </c>
      <c r="C20" s="235">
        <v>1000</v>
      </c>
      <c r="D20" s="237">
        <v>1000</v>
      </c>
      <c r="E20" s="236">
        <f t="shared" si="2"/>
        <v>100</v>
      </c>
      <c r="F20" s="82">
        <v>101212</v>
      </c>
      <c r="G20" s="116" t="s">
        <v>32</v>
      </c>
      <c r="H20" s="187"/>
      <c r="I20" s="127"/>
      <c r="J20" s="128"/>
      <c r="K20" s="128"/>
      <c r="L20" s="128"/>
    </row>
    <row r="21" spans="1:12" s="89" customFormat="1" x14ac:dyDescent="0.2">
      <c r="A21" s="238" t="s">
        <v>437</v>
      </c>
      <c r="B21" s="234">
        <v>5000000</v>
      </c>
      <c r="C21" s="235">
        <v>9825000</v>
      </c>
      <c r="D21" s="237">
        <v>9704163.2200000007</v>
      </c>
      <c r="E21" s="236">
        <f t="shared" si="2"/>
        <v>98.770109109414761</v>
      </c>
      <c r="F21" s="82">
        <v>101213</v>
      </c>
      <c r="G21" s="116" t="s">
        <v>32</v>
      </c>
      <c r="H21" s="187"/>
      <c r="I21" s="127"/>
      <c r="J21" s="128"/>
      <c r="K21" s="128"/>
      <c r="L21" s="128"/>
    </row>
    <row r="22" spans="1:12" s="89" customFormat="1" ht="25.5" x14ac:dyDescent="0.2">
      <c r="A22" s="238" t="s">
        <v>129</v>
      </c>
      <c r="B22" s="234">
        <v>2396000</v>
      </c>
      <c r="C22" s="235">
        <v>2569097.25</v>
      </c>
      <c r="D22" s="237">
        <v>2569097.25</v>
      </c>
      <c r="E22" s="236">
        <f t="shared" si="2"/>
        <v>100</v>
      </c>
      <c r="F22" s="82">
        <v>101215</v>
      </c>
      <c r="G22" s="116" t="s">
        <v>32</v>
      </c>
      <c r="H22" s="187"/>
      <c r="I22" s="127"/>
      <c r="J22" s="128"/>
      <c r="K22" s="128"/>
      <c r="L22" s="128"/>
    </row>
    <row r="23" spans="1:12" s="89" customFormat="1" x14ac:dyDescent="0.2">
      <c r="A23" s="238" t="s">
        <v>130</v>
      </c>
      <c r="B23" s="234">
        <v>0</v>
      </c>
      <c r="C23" s="235">
        <v>4840</v>
      </c>
      <c r="D23" s="237">
        <v>4840</v>
      </c>
      <c r="E23" s="236">
        <f t="shared" si="2"/>
        <v>100</v>
      </c>
      <c r="F23" s="82">
        <v>101216</v>
      </c>
      <c r="G23" s="116" t="s">
        <v>32</v>
      </c>
      <c r="H23" s="187"/>
      <c r="I23" s="127"/>
      <c r="J23" s="128"/>
      <c r="K23" s="128"/>
      <c r="L23" s="128"/>
    </row>
    <row r="24" spans="1:12" s="89" customFormat="1" ht="25.5" x14ac:dyDescent="0.2">
      <c r="A24" s="238" t="s">
        <v>131</v>
      </c>
      <c r="B24" s="234">
        <v>10750000</v>
      </c>
      <c r="C24" s="235">
        <v>11202511.26</v>
      </c>
      <c r="D24" s="237">
        <v>11202511.26</v>
      </c>
      <c r="E24" s="236">
        <f t="shared" si="2"/>
        <v>100</v>
      </c>
      <c r="F24" s="82">
        <v>101219</v>
      </c>
      <c r="G24" s="116" t="s">
        <v>32</v>
      </c>
      <c r="H24" s="187"/>
      <c r="I24" s="127"/>
      <c r="J24" s="128"/>
      <c r="K24" s="128"/>
      <c r="L24" s="128"/>
    </row>
    <row r="25" spans="1:12" s="89" customFormat="1" ht="25.5" x14ac:dyDescent="0.2">
      <c r="A25" s="238" t="s">
        <v>132</v>
      </c>
      <c r="B25" s="234">
        <v>0</v>
      </c>
      <c r="C25" s="235">
        <v>733803.92</v>
      </c>
      <c r="D25" s="237">
        <v>733803.92</v>
      </c>
      <c r="E25" s="236">
        <f t="shared" si="2"/>
        <v>100</v>
      </c>
      <c r="F25" s="82">
        <v>101220</v>
      </c>
      <c r="G25" s="116" t="s">
        <v>32</v>
      </c>
      <c r="H25" s="187"/>
      <c r="I25" s="127"/>
      <c r="J25" s="128"/>
      <c r="K25" s="128"/>
      <c r="L25" s="128"/>
    </row>
    <row r="26" spans="1:12" s="89" customFormat="1" x14ac:dyDescent="0.2">
      <c r="A26" s="238" t="s">
        <v>133</v>
      </c>
      <c r="B26" s="234">
        <v>5697000</v>
      </c>
      <c r="C26" s="235">
        <v>8714563.6999999993</v>
      </c>
      <c r="D26" s="237">
        <v>8714563.6999999993</v>
      </c>
      <c r="E26" s="236">
        <f t="shared" si="2"/>
        <v>100</v>
      </c>
      <c r="F26" s="82">
        <v>101222</v>
      </c>
      <c r="G26" s="116" t="s">
        <v>32</v>
      </c>
      <c r="H26" s="187"/>
      <c r="I26" s="127"/>
      <c r="J26" s="128"/>
      <c r="K26" s="128"/>
      <c r="L26" s="128"/>
    </row>
    <row r="27" spans="1:12" s="89" customFormat="1" x14ac:dyDescent="0.2">
      <c r="A27" s="238" t="s">
        <v>134</v>
      </c>
      <c r="B27" s="234">
        <v>9437000</v>
      </c>
      <c r="C27" s="235">
        <v>8772643.7799999993</v>
      </c>
      <c r="D27" s="237">
        <v>8772643.7799999993</v>
      </c>
      <c r="E27" s="236">
        <f t="shared" si="2"/>
        <v>100</v>
      </c>
      <c r="F27" s="82">
        <v>101224</v>
      </c>
      <c r="G27" s="116" t="s">
        <v>32</v>
      </c>
      <c r="H27" s="187"/>
      <c r="I27" s="127"/>
      <c r="J27" s="128"/>
      <c r="K27" s="128"/>
      <c r="L27" s="128"/>
    </row>
    <row r="28" spans="1:12" s="89" customFormat="1" x14ac:dyDescent="0.2">
      <c r="A28" s="238" t="s">
        <v>135</v>
      </c>
      <c r="B28" s="234">
        <v>2000000</v>
      </c>
      <c r="C28" s="235">
        <v>609000</v>
      </c>
      <c r="D28" s="237">
        <v>0</v>
      </c>
      <c r="E28" s="236">
        <f t="shared" si="2"/>
        <v>0</v>
      </c>
      <c r="F28" s="82">
        <v>101226</v>
      </c>
      <c r="G28" s="116" t="s">
        <v>32</v>
      </c>
      <c r="H28" s="187"/>
      <c r="I28" s="127"/>
      <c r="J28" s="128"/>
      <c r="K28" s="128"/>
      <c r="L28" s="128"/>
    </row>
    <row r="29" spans="1:12" s="89" customFormat="1" ht="25.5" customHeight="1" x14ac:dyDescent="0.2">
      <c r="A29" s="601" t="s">
        <v>256</v>
      </c>
      <c r="B29" s="540">
        <v>500000</v>
      </c>
      <c r="C29" s="541">
        <v>1499500</v>
      </c>
      <c r="D29" s="542">
        <v>1399889.07</v>
      </c>
      <c r="E29" s="236">
        <f t="shared" si="2"/>
        <v>93.357057019006334</v>
      </c>
      <c r="F29" s="82">
        <v>101261</v>
      </c>
      <c r="G29" s="116" t="s">
        <v>32</v>
      </c>
      <c r="H29" s="187"/>
      <c r="I29" s="127"/>
      <c r="J29" s="128"/>
      <c r="K29" s="128"/>
      <c r="L29" s="128"/>
    </row>
    <row r="30" spans="1:12" s="89" customFormat="1" ht="25.5" x14ac:dyDescent="0.2">
      <c r="A30" s="539" t="s">
        <v>257</v>
      </c>
      <c r="B30" s="540">
        <v>3725000</v>
      </c>
      <c r="C30" s="541">
        <v>4923865.33</v>
      </c>
      <c r="D30" s="542">
        <v>4649184.2300000004</v>
      </c>
      <c r="E30" s="236">
        <f t="shared" si="2"/>
        <v>94.421433536647939</v>
      </c>
      <c r="F30" s="82">
        <v>101262</v>
      </c>
      <c r="G30" s="116" t="s">
        <v>32</v>
      </c>
      <c r="H30" s="187"/>
      <c r="I30" s="127"/>
      <c r="J30" s="128"/>
      <c r="K30" s="128"/>
      <c r="L30" s="128"/>
    </row>
    <row r="31" spans="1:12" s="89" customFormat="1" ht="25.5" customHeight="1" x14ac:dyDescent="0.2">
      <c r="A31" s="601" t="s">
        <v>258</v>
      </c>
      <c r="B31" s="540">
        <v>6980000</v>
      </c>
      <c r="C31" s="541">
        <v>6231657.4500000002</v>
      </c>
      <c r="D31" s="542">
        <v>6231657.4500000002</v>
      </c>
      <c r="E31" s="236">
        <f t="shared" si="2"/>
        <v>100</v>
      </c>
      <c r="F31" s="82">
        <v>101268</v>
      </c>
      <c r="G31" s="144" t="s">
        <v>32</v>
      </c>
      <c r="H31" s="187"/>
      <c r="I31" s="127"/>
      <c r="J31" s="128"/>
      <c r="K31" s="128"/>
      <c r="L31" s="128"/>
    </row>
    <row r="32" spans="1:12" s="89" customFormat="1" ht="38.25" x14ac:dyDescent="0.2">
      <c r="A32" s="539" t="s">
        <v>259</v>
      </c>
      <c r="B32" s="540">
        <v>200000</v>
      </c>
      <c r="C32" s="541">
        <v>200000</v>
      </c>
      <c r="D32" s="542">
        <v>0</v>
      </c>
      <c r="E32" s="236">
        <f t="shared" si="2"/>
        <v>0</v>
      </c>
      <c r="F32" s="82">
        <v>101270</v>
      </c>
      <c r="G32" s="144" t="s">
        <v>32</v>
      </c>
      <c r="H32" s="187"/>
      <c r="I32" s="127"/>
      <c r="J32" s="128"/>
      <c r="K32" s="128"/>
      <c r="L32" s="128"/>
    </row>
    <row r="33" spans="1:12" s="89" customFormat="1" x14ac:dyDescent="0.2">
      <c r="A33" s="539" t="s">
        <v>260</v>
      </c>
      <c r="B33" s="540">
        <v>0</v>
      </c>
      <c r="C33" s="541">
        <v>2421302.06</v>
      </c>
      <c r="D33" s="542">
        <v>2421302</v>
      </c>
      <c r="E33" s="236">
        <f t="shared" si="2"/>
        <v>99.999997521994416</v>
      </c>
      <c r="F33" s="82">
        <v>101271</v>
      </c>
      <c r="G33" s="144" t="s">
        <v>32</v>
      </c>
      <c r="H33" s="187"/>
      <c r="I33" s="127"/>
      <c r="J33" s="128"/>
      <c r="K33" s="128"/>
      <c r="L33" s="128"/>
    </row>
    <row r="34" spans="1:12" s="89" customFormat="1" ht="38.25" x14ac:dyDescent="0.2">
      <c r="A34" s="539" t="s">
        <v>261</v>
      </c>
      <c r="B34" s="540">
        <v>0</v>
      </c>
      <c r="C34" s="541">
        <v>869590</v>
      </c>
      <c r="D34" s="542">
        <v>869589</v>
      </c>
      <c r="E34" s="236">
        <f t="shared" si="2"/>
        <v>99.999885003277413</v>
      </c>
      <c r="F34" s="82">
        <v>101272</v>
      </c>
      <c r="G34" s="144" t="s">
        <v>32</v>
      </c>
      <c r="H34" s="187"/>
      <c r="I34" s="127"/>
      <c r="J34" s="128"/>
      <c r="K34" s="128"/>
      <c r="L34" s="128"/>
    </row>
    <row r="35" spans="1:12" s="89" customFormat="1" x14ac:dyDescent="0.2">
      <c r="A35" s="539" t="s">
        <v>262</v>
      </c>
      <c r="B35" s="540">
        <v>20917000</v>
      </c>
      <c r="C35" s="541">
        <v>22277000</v>
      </c>
      <c r="D35" s="542">
        <v>6325642.2199999997</v>
      </c>
      <c r="E35" s="236">
        <f t="shared" si="2"/>
        <v>28.395395340485702</v>
      </c>
      <c r="F35" s="82">
        <v>101273</v>
      </c>
      <c r="G35" s="144" t="s">
        <v>32</v>
      </c>
      <c r="H35" s="187"/>
      <c r="I35" s="127"/>
      <c r="J35" s="128"/>
      <c r="K35" s="128"/>
      <c r="L35" s="128"/>
    </row>
    <row r="36" spans="1:12" s="89" customFormat="1" ht="25.5" x14ac:dyDescent="0.2">
      <c r="A36" s="539" t="s">
        <v>263</v>
      </c>
      <c r="B36" s="540">
        <v>7531000</v>
      </c>
      <c r="C36" s="541">
        <v>3451610</v>
      </c>
      <c r="D36" s="542">
        <v>661995.79</v>
      </c>
      <c r="E36" s="236">
        <f t="shared" si="2"/>
        <v>19.179333412523434</v>
      </c>
      <c r="F36" s="82">
        <v>101275</v>
      </c>
      <c r="G36" s="116" t="s">
        <v>32</v>
      </c>
      <c r="H36" s="187"/>
      <c r="I36" s="127"/>
      <c r="J36" s="128"/>
      <c r="K36" s="128"/>
      <c r="L36" s="128"/>
    </row>
    <row r="37" spans="1:12" s="89" customFormat="1" ht="25.5" customHeight="1" x14ac:dyDescent="0.2">
      <c r="A37" s="601" t="s">
        <v>264</v>
      </c>
      <c r="B37" s="540">
        <v>500000</v>
      </c>
      <c r="C37" s="541">
        <v>500000</v>
      </c>
      <c r="D37" s="542">
        <v>249260</v>
      </c>
      <c r="E37" s="236">
        <f t="shared" si="2"/>
        <v>49.852000000000004</v>
      </c>
      <c r="F37" s="82">
        <v>101279</v>
      </c>
      <c r="G37" s="144" t="s">
        <v>32</v>
      </c>
      <c r="H37" s="187"/>
      <c r="I37" s="128"/>
      <c r="J37" s="128"/>
      <c r="K37" s="128"/>
      <c r="L37" s="128"/>
    </row>
    <row r="38" spans="1:12" s="89" customFormat="1" x14ac:dyDescent="0.2">
      <c r="A38" s="539" t="s">
        <v>265</v>
      </c>
      <c r="B38" s="540">
        <v>3600000</v>
      </c>
      <c r="C38" s="541">
        <v>11039825.76</v>
      </c>
      <c r="D38" s="542">
        <v>10128667.07</v>
      </c>
      <c r="E38" s="236">
        <f t="shared" si="2"/>
        <v>91.746620736521493</v>
      </c>
      <c r="F38" s="82">
        <v>101280</v>
      </c>
      <c r="G38" s="144" t="s">
        <v>32</v>
      </c>
      <c r="H38" s="187"/>
      <c r="I38" s="127"/>
      <c r="J38" s="128"/>
      <c r="K38" s="128"/>
      <c r="L38" s="128"/>
    </row>
    <row r="39" spans="1:12" s="89" customFormat="1" x14ac:dyDescent="0.2">
      <c r="A39" s="539" t="s">
        <v>266</v>
      </c>
      <c r="B39" s="540">
        <v>11883000</v>
      </c>
      <c r="C39" s="541">
        <v>10911477.41</v>
      </c>
      <c r="D39" s="542">
        <v>10279637.4</v>
      </c>
      <c r="E39" s="236">
        <f t="shared" si="2"/>
        <v>94.209400008279914</v>
      </c>
      <c r="F39" s="82">
        <v>101282</v>
      </c>
      <c r="G39" s="144" t="s">
        <v>32</v>
      </c>
      <c r="H39" s="187"/>
      <c r="I39" s="127"/>
      <c r="J39" s="128"/>
      <c r="K39" s="128"/>
      <c r="L39" s="128"/>
    </row>
    <row r="40" spans="1:12" s="89" customFormat="1" x14ac:dyDescent="0.2">
      <c r="A40" s="539" t="s">
        <v>267</v>
      </c>
      <c r="B40" s="540">
        <v>1500000</v>
      </c>
      <c r="C40" s="541">
        <v>1500000</v>
      </c>
      <c r="D40" s="542">
        <v>1463306</v>
      </c>
      <c r="E40" s="236">
        <f t="shared" si="2"/>
        <v>97.553733333333341</v>
      </c>
      <c r="F40" s="82">
        <v>101284</v>
      </c>
      <c r="G40" s="144" t="s">
        <v>32</v>
      </c>
      <c r="H40" s="187"/>
      <c r="I40" s="127"/>
      <c r="J40" s="128"/>
      <c r="K40" s="128"/>
      <c r="L40" s="128"/>
    </row>
    <row r="41" spans="1:12" s="89" customFormat="1" x14ac:dyDescent="0.2">
      <c r="A41" s="539" t="s">
        <v>268</v>
      </c>
      <c r="B41" s="540">
        <v>2443000</v>
      </c>
      <c r="C41" s="541">
        <v>2289394.5</v>
      </c>
      <c r="D41" s="542">
        <v>2262900.46</v>
      </c>
      <c r="E41" s="236">
        <f t="shared" si="2"/>
        <v>98.842749032549875</v>
      </c>
      <c r="F41" s="82">
        <v>101285</v>
      </c>
      <c r="G41" s="144" t="s">
        <v>32</v>
      </c>
      <c r="H41" s="187"/>
      <c r="I41" s="127"/>
      <c r="J41" s="128"/>
      <c r="K41" s="128"/>
      <c r="L41" s="128"/>
    </row>
    <row r="42" spans="1:12" s="89" customFormat="1" ht="25.5" x14ac:dyDescent="0.2">
      <c r="A42" s="539" t="s">
        <v>269</v>
      </c>
      <c r="B42" s="540">
        <v>500000</v>
      </c>
      <c r="C42" s="541">
        <v>474522.59</v>
      </c>
      <c r="D42" s="542">
        <v>474522.59</v>
      </c>
      <c r="E42" s="236">
        <f t="shared" si="2"/>
        <v>100</v>
      </c>
      <c r="F42" s="82">
        <v>101316</v>
      </c>
      <c r="G42" s="144" t="s">
        <v>32</v>
      </c>
      <c r="H42" s="187"/>
      <c r="I42" s="127"/>
      <c r="J42" s="128"/>
      <c r="K42" s="128"/>
      <c r="L42" s="128"/>
    </row>
    <row r="43" spans="1:12" s="89" customFormat="1" x14ac:dyDescent="0.2">
      <c r="A43" s="539" t="s">
        <v>270</v>
      </c>
      <c r="B43" s="540">
        <v>500000</v>
      </c>
      <c r="C43" s="541">
        <v>1035397</v>
      </c>
      <c r="D43" s="542">
        <v>1035397</v>
      </c>
      <c r="E43" s="236">
        <f t="shared" si="2"/>
        <v>100</v>
      </c>
      <c r="F43" s="82">
        <v>101320</v>
      </c>
      <c r="G43" s="116" t="s">
        <v>32</v>
      </c>
      <c r="H43" s="187"/>
      <c r="I43" s="127"/>
      <c r="J43" s="128"/>
      <c r="K43" s="128"/>
      <c r="L43" s="128"/>
    </row>
    <row r="44" spans="1:12" s="89" customFormat="1" ht="25.5" x14ac:dyDescent="0.2">
      <c r="A44" s="602" t="s">
        <v>438</v>
      </c>
      <c r="B44" s="234">
        <v>2500000</v>
      </c>
      <c r="C44" s="237">
        <v>3109836.99</v>
      </c>
      <c r="D44" s="237">
        <v>3109836.99</v>
      </c>
      <c r="E44" s="236">
        <f t="shared" si="2"/>
        <v>100</v>
      </c>
      <c r="F44" s="82">
        <v>101330</v>
      </c>
      <c r="G44" s="116" t="s">
        <v>32</v>
      </c>
      <c r="H44" s="187"/>
      <c r="I44" s="128"/>
      <c r="J44" s="128"/>
      <c r="K44" s="128"/>
      <c r="L44" s="128"/>
    </row>
    <row r="45" spans="1:12" s="89" customFormat="1" ht="26.25" customHeight="1" x14ac:dyDescent="0.2">
      <c r="A45" s="238" t="s">
        <v>271</v>
      </c>
      <c r="B45" s="234">
        <v>1892000</v>
      </c>
      <c r="C45" s="237">
        <v>0</v>
      </c>
      <c r="D45" s="237">
        <v>0</v>
      </c>
      <c r="E45" s="236">
        <v>0</v>
      </c>
      <c r="F45" s="82">
        <v>101331</v>
      </c>
      <c r="G45" s="116" t="s">
        <v>32</v>
      </c>
      <c r="H45" s="187"/>
      <c r="I45" s="127"/>
      <c r="J45" s="128"/>
      <c r="K45" s="128"/>
      <c r="L45" s="128"/>
    </row>
    <row r="46" spans="1:12" s="89" customFormat="1" ht="25.5" x14ac:dyDescent="0.2">
      <c r="A46" s="238" t="s">
        <v>397</v>
      </c>
      <c r="B46" s="234">
        <v>0</v>
      </c>
      <c r="C46" s="237">
        <v>2401850</v>
      </c>
      <c r="D46" s="237">
        <v>2401850</v>
      </c>
      <c r="E46" s="236">
        <f t="shared" si="2"/>
        <v>100</v>
      </c>
      <c r="F46" s="82">
        <v>101344</v>
      </c>
      <c r="G46" s="116" t="s">
        <v>32</v>
      </c>
      <c r="H46" s="187"/>
      <c r="I46" s="128"/>
      <c r="J46" s="128"/>
      <c r="K46" s="128"/>
      <c r="L46" s="128"/>
    </row>
    <row r="47" spans="1:12" s="89" customFormat="1" x14ac:dyDescent="0.2">
      <c r="A47" s="238" t="s">
        <v>439</v>
      </c>
      <c r="B47" s="234">
        <v>400000</v>
      </c>
      <c r="C47" s="237">
        <v>6050</v>
      </c>
      <c r="D47" s="237">
        <v>6050</v>
      </c>
      <c r="E47" s="236">
        <f t="shared" si="2"/>
        <v>100</v>
      </c>
      <c r="F47" s="82">
        <v>101356</v>
      </c>
      <c r="G47" s="116" t="s">
        <v>32</v>
      </c>
      <c r="H47" s="187"/>
      <c r="I47" s="128"/>
      <c r="J47" s="128"/>
      <c r="K47" s="128"/>
      <c r="L47" s="128"/>
    </row>
    <row r="48" spans="1:12" s="89" customFormat="1" x14ac:dyDescent="0.2">
      <c r="A48" s="238" t="s">
        <v>440</v>
      </c>
      <c r="B48" s="234">
        <v>300000</v>
      </c>
      <c r="C48" s="237">
        <v>159192</v>
      </c>
      <c r="D48" s="237">
        <v>0</v>
      </c>
      <c r="E48" s="236">
        <f t="shared" si="2"/>
        <v>0</v>
      </c>
      <c r="F48" s="82">
        <v>101357</v>
      </c>
      <c r="G48" s="116" t="s">
        <v>32</v>
      </c>
      <c r="H48" s="187"/>
      <c r="I48" s="128"/>
      <c r="J48" s="128"/>
      <c r="K48" s="128"/>
      <c r="L48" s="128"/>
    </row>
    <row r="49" spans="1:12" s="89" customFormat="1" ht="25.5" x14ac:dyDescent="0.2">
      <c r="A49" s="238" t="s">
        <v>441</v>
      </c>
      <c r="B49" s="234">
        <v>350000</v>
      </c>
      <c r="C49" s="237">
        <v>350000</v>
      </c>
      <c r="D49" s="237">
        <v>78650</v>
      </c>
      <c r="E49" s="236">
        <f t="shared" si="2"/>
        <v>22.471428571428572</v>
      </c>
      <c r="F49" s="82">
        <v>101358</v>
      </c>
      <c r="G49" s="116" t="s">
        <v>32</v>
      </c>
      <c r="H49" s="187"/>
      <c r="I49" s="128"/>
      <c r="J49" s="128"/>
      <c r="K49" s="128"/>
      <c r="L49" s="128"/>
    </row>
    <row r="50" spans="1:12" s="89" customFormat="1" ht="25.5" x14ac:dyDescent="0.2">
      <c r="A50" s="238" t="s">
        <v>442</v>
      </c>
      <c r="B50" s="234">
        <v>956000</v>
      </c>
      <c r="C50" s="237">
        <v>735680</v>
      </c>
      <c r="D50" s="237">
        <v>735680</v>
      </c>
      <c r="E50" s="236">
        <f t="shared" si="2"/>
        <v>100</v>
      </c>
      <c r="F50" s="82">
        <v>101359</v>
      </c>
      <c r="G50" s="116" t="s">
        <v>32</v>
      </c>
      <c r="H50" s="187"/>
      <c r="I50" s="128"/>
      <c r="J50" s="128"/>
      <c r="K50" s="128"/>
      <c r="L50" s="128"/>
    </row>
    <row r="51" spans="1:12" s="89" customFormat="1" ht="25.5" x14ac:dyDescent="0.2">
      <c r="A51" s="238" t="s">
        <v>443</v>
      </c>
      <c r="B51" s="234">
        <v>300000</v>
      </c>
      <c r="C51" s="237">
        <v>42592</v>
      </c>
      <c r="D51" s="237">
        <v>42592</v>
      </c>
      <c r="E51" s="236">
        <f t="shared" si="2"/>
        <v>100</v>
      </c>
      <c r="F51" s="82">
        <v>101360</v>
      </c>
      <c r="G51" s="116" t="s">
        <v>32</v>
      </c>
      <c r="H51" s="187"/>
      <c r="I51" s="128"/>
      <c r="J51" s="128"/>
      <c r="K51" s="128"/>
      <c r="L51" s="128"/>
    </row>
    <row r="52" spans="1:12" s="89" customFormat="1" x14ac:dyDescent="0.2">
      <c r="A52" s="238" t="s">
        <v>444</v>
      </c>
      <c r="B52" s="234">
        <v>500000</v>
      </c>
      <c r="C52" s="237">
        <v>0</v>
      </c>
      <c r="D52" s="237">
        <v>0</v>
      </c>
      <c r="E52" s="236">
        <v>0</v>
      </c>
      <c r="F52" s="82">
        <v>101361</v>
      </c>
      <c r="G52" s="116" t="s">
        <v>32</v>
      </c>
      <c r="H52" s="187"/>
      <c r="I52" s="128"/>
      <c r="J52" s="128"/>
      <c r="K52" s="128"/>
      <c r="L52" s="128"/>
    </row>
    <row r="53" spans="1:12" s="89" customFormat="1" x14ac:dyDescent="0.2">
      <c r="A53" s="238" t="s">
        <v>445</v>
      </c>
      <c r="B53" s="234">
        <v>200000</v>
      </c>
      <c r="C53" s="237">
        <v>200000</v>
      </c>
      <c r="D53" s="237">
        <v>77440</v>
      </c>
      <c r="E53" s="236">
        <f t="shared" si="2"/>
        <v>38.72</v>
      </c>
      <c r="F53" s="82">
        <v>101362</v>
      </c>
      <c r="G53" s="116" t="s">
        <v>32</v>
      </c>
      <c r="H53" s="187"/>
      <c r="I53" s="128"/>
      <c r="J53" s="128"/>
      <c r="K53" s="128"/>
      <c r="L53" s="128"/>
    </row>
    <row r="54" spans="1:12" s="89" customFormat="1" ht="25.5" x14ac:dyDescent="0.2">
      <c r="A54" s="238" t="s">
        <v>446</v>
      </c>
      <c r="B54" s="234">
        <v>500000</v>
      </c>
      <c r="C54" s="237">
        <v>500000</v>
      </c>
      <c r="D54" s="237">
        <v>453200.66</v>
      </c>
      <c r="E54" s="236">
        <f t="shared" si="2"/>
        <v>90.640131999999994</v>
      </c>
      <c r="F54" s="82">
        <v>101363</v>
      </c>
      <c r="G54" s="116" t="s">
        <v>32</v>
      </c>
      <c r="H54" s="187"/>
      <c r="I54" s="128"/>
      <c r="J54" s="128"/>
      <c r="K54" s="128"/>
      <c r="L54" s="128"/>
    </row>
    <row r="55" spans="1:12" s="89" customFormat="1" x14ac:dyDescent="0.2">
      <c r="A55" s="238" t="s">
        <v>447</v>
      </c>
      <c r="B55" s="234">
        <v>300000</v>
      </c>
      <c r="C55" s="237">
        <v>300000</v>
      </c>
      <c r="D55" s="237">
        <v>145194</v>
      </c>
      <c r="E55" s="236">
        <f t="shared" si="2"/>
        <v>48.398000000000003</v>
      </c>
      <c r="F55" s="82">
        <v>101364</v>
      </c>
      <c r="G55" s="116" t="s">
        <v>32</v>
      </c>
      <c r="H55" s="187"/>
      <c r="I55" s="128"/>
      <c r="J55" s="128"/>
      <c r="K55" s="128"/>
      <c r="L55" s="128"/>
    </row>
    <row r="56" spans="1:12" s="89" customFormat="1" x14ac:dyDescent="0.2">
      <c r="A56" s="238" t="s">
        <v>448</v>
      </c>
      <c r="B56" s="234">
        <v>400000</v>
      </c>
      <c r="C56" s="237">
        <v>192390</v>
      </c>
      <c r="D56" s="237">
        <v>192390</v>
      </c>
      <c r="E56" s="236">
        <f t="shared" si="2"/>
        <v>100</v>
      </c>
      <c r="F56" s="82">
        <v>101365</v>
      </c>
      <c r="G56" s="116" t="s">
        <v>32</v>
      </c>
      <c r="H56" s="187"/>
      <c r="I56" s="128"/>
      <c r="J56" s="128"/>
      <c r="K56" s="128"/>
      <c r="L56" s="128"/>
    </row>
    <row r="57" spans="1:12" s="89" customFormat="1" x14ac:dyDescent="0.2">
      <c r="A57" s="238" t="s">
        <v>449</v>
      </c>
      <c r="B57" s="234">
        <v>3000000</v>
      </c>
      <c r="C57" s="237">
        <v>3587711.8</v>
      </c>
      <c r="D57" s="237">
        <v>3587711.8</v>
      </c>
      <c r="E57" s="236">
        <f t="shared" si="2"/>
        <v>100</v>
      </c>
      <c r="F57" s="82">
        <v>101366</v>
      </c>
      <c r="G57" s="116" t="s">
        <v>32</v>
      </c>
      <c r="H57" s="187"/>
      <c r="I57" s="128"/>
      <c r="J57" s="128"/>
      <c r="K57" s="128"/>
      <c r="L57" s="128"/>
    </row>
    <row r="58" spans="1:12" s="89" customFormat="1" ht="25.5" x14ac:dyDescent="0.2">
      <c r="A58" s="238" t="s">
        <v>450</v>
      </c>
      <c r="B58" s="234">
        <v>1200000</v>
      </c>
      <c r="C58" s="237">
        <v>2542894.66</v>
      </c>
      <c r="D58" s="237">
        <v>2542894.66</v>
      </c>
      <c r="E58" s="236">
        <f t="shared" si="2"/>
        <v>100</v>
      </c>
      <c r="F58" s="82">
        <v>101367</v>
      </c>
      <c r="G58" s="116" t="s">
        <v>32</v>
      </c>
      <c r="H58" s="187"/>
      <c r="I58" s="128"/>
      <c r="J58" s="128"/>
      <c r="K58" s="128"/>
      <c r="L58" s="128"/>
    </row>
    <row r="59" spans="1:12" s="89" customFormat="1" ht="25.5" x14ac:dyDescent="0.2">
      <c r="A59" s="238" t="s">
        <v>451</v>
      </c>
      <c r="B59" s="234">
        <v>200000</v>
      </c>
      <c r="C59" s="237">
        <v>319390</v>
      </c>
      <c r="D59" s="237">
        <v>313390</v>
      </c>
      <c r="E59" s="236">
        <f t="shared" si="2"/>
        <v>98.121418954882742</v>
      </c>
      <c r="F59" s="82">
        <v>101368</v>
      </c>
      <c r="G59" s="116" t="s">
        <v>32</v>
      </c>
      <c r="H59" s="187"/>
      <c r="I59" s="128"/>
      <c r="J59" s="128"/>
      <c r="K59" s="128"/>
      <c r="L59" s="128"/>
    </row>
    <row r="60" spans="1:12" s="89" customFormat="1" ht="25.5" x14ac:dyDescent="0.2">
      <c r="A60" s="602" t="s">
        <v>452</v>
      </c>
      <c r="B60" s="234">
        <v>400000</v>
      </c>
      <c r="C60" s="237">
        <v>0</v>
      </c>
      <c r="D60" s="237">
        <v>0</v>
      </c>
      <c r="E60" s="236">
        <v>0</v>
      </c>
      <c r="F60" s="82">
        <v>101369</v>
      </c>
      <c r="G60" s="116" t="s">
        <v>32</v>
      </c>
      <c r="H60" s="187"/>
      <c r="I60" s="128"/>
      <c r="J60" s="128"/>
      <c r="K60" s="128"/>
      <c r="L60" s="128"/>
    </row>
    <row r="61" spans="1:12" s="89" customFormat="1" ht="38.25" x14ac:dyDescent="0.2">
      <c r="A61" s="238" t="s">
        <v>453</v>
      </c>
      <c r="B61" s="234">
        <v>300000</v>
      </c>
      <c r="C61" s="237">
        <v>300000</v>
      </c>
      <c r="D61" s="237">
        <v>148830</v>
      </c>
      <c r="E61" s="236">
        <f t="shared" si="2"/>
        <v>49.61</v>
      </c>
      <c r="F61" s="82">
        <v>101370</v>
      </c>
      <c r="G61" s="116" t="s">
        <v>32</v>
      </c>
      <c r="H61" s="187"/>
      <c r="I61" s="128"/>
      <c r="J61" s="128"/>
      <c r="K61" s="128"/>
      <c r="L61" s="128"/>
    </row>
    <row r="62" spans="1:12" s="89" customFormat="1" x14ac:dyDescent="0.2">
      <c r="A62" s="238" t="s">
        <v>454</v>
      </c>
      <c r="B62" s="234">
        <v>300000</v>
      </c>
      <c r="C62" s="237">
        <v>245080</v>
      </c>
      <c r="D62" s="237">
        <v>229900</v>
      </c>
      <c r="E62" s="236">
        <f t="shared" si="2"/>
        <v>93.806104129263915</v>
      </c>
      <c r="F62" s="82">
        <v>101371</v>
      </c>
      <c r="G62" s="116" t="s">
        <v>32</v>
      </c>
      <c r="H62" s="187"/>
      <c r="I62" s="128"/>
      <c r="J62" s="128"/>
      <c r="K62" s="128"/>
      <c r="L62" s="128"/>
    </row>
    <row r="63" spans="1:12" s="89" customFormat="1" x14ac:dyDescent="0.2">
      <c r="A63" s="238" t="s">
        <v>455</v>
      </c>
      <c r="B63" s="234">
        <v>250000</v>
      </c>
      <c r="C63" s="237">
        <v>304920</v>
      </c>
      <c r="D63" s="237">
        <v>304920</v>
      </c>
      <c r="E63" s="236">
        <f t="shared" si="2"/>
        <v>100</v>
      </c>
      <c r="F63" s="82">
        <v>101372</v>
      </c>
      <c r="G63" s="116" t="s">
        <v>32</v>
      </c>
      <c r="H63" s="187"/>
      <c r="I63" s="128"/>
      <c r="J63" s="128"/>
      <c r="K63" s="128"/>
      <c r="L63" s="128"/>
    </row>
    <row r="64" spans="1:12" s="89" customFormat="1" ht="25.5" x14ac:dyDescent="0.2">
      <c r="A64" s="238" t="s">
        <v>456</v>
      </c>
      <c r="B64" s="234">
        <v>500000</v>
      </c>
      <c r="C64" s="237">
        <v>0</v>
      </c>
      <c r="D64" s="237">
        <v>0</v>
      </c>
      <c r="E64" s="236">
        <v>0</v>
      </c>
      <c r="F64" s="82">
        <v>101373</v>
      </c>
      <c r="G64" s="116" t="s">
        <v>32</v>
      </c>
      <c r="H64" s="187"/>
      <c r="I64" s="128"/>
      <c r="J64" s="128"/>
      <c r="K64" s="128"/>
      <c r="L64" s="128"/>
    </row>
    <row r="65" spans="1:12" s="89" customFormat="1" ht="25.5" x14ac:dyDescent="0.2">
      <c r="A65" s="238" t="s">
        <v>457</v>
      </c>
      <c r="B65" s="234">
        <v>250000</v>
      </c>
      <c r="C65" s="237">
        <v>338800</v>
      </c>
      <c r="D65" s="237">
        <v>0</v>
      </c>
      <c r="E65" s="236">
        <f t="shared" si="2"/>
        <v>0</v>
      </c>
      <c r="F65" s="82">
        <v>101374</v>
      </c>
      <c r="G65" s="116" t="s">
        <v>32</v>
      </c>
      <c r="H65" s="187"/>
      <c r="I65" s="128"/>
      <c r="J65" s="128"/>
      <c r="K65" s="128"/>
      <c r="L65" s="128"/>
    </row>
    <row r="66" spans="1:12" s="89" customFormat="1" ht="25.5" x14ac:dyDescent="0.2">
      <c r="A66" s="238" t="s">
        <v>458</v>
      </c>
      <c r="B66" s="234">
        <v>500000</v>
      </c>
      <c r="C66" s="237">
        <v>500000</v>
      </c>
      <c r="D66" s="237">
        <v>374870</v>
      </c>
      <c r="E66" s="236">
        <f t="shared" si="2"/>
        <v>74.97399999999999</v>
      </c>
      <c r="F66" s="82">
        <v>101375</v>
      </c>
      <c r="G66" s="116" t="s">
        <v>32</v>
      </c>
      <c r="H66" s="187"/>
      <c r="I66" s="128"/>
      <c r="J66" s="128"/>
      <c r="K66" s="128"/>
      <c r="L66" s="128"/>
    </row>
    <row r="67" spans="1:12" s="89" customFormat="1" ht="25.5" x14ac:dyDescent="0.2">
      <c r="A67" s="238" t="s">
        <v>459</v>
      </c>
      <c r="B67" s="234">
        <v>400000</v>
      </c>
      <c r="C67" s="237">
        <v>608588</v>
      </c>
      <c r="D67" s="237">
        <v>209088</v>
      </c>
      <c r="E67" s="236">
        <f t="shared" si="2"/>
        <v>34.356247576357077</v>
      </c>
      <c r="F67" s="82">
        <v>101376</v>
      </c>
      <c r="G67" s="116" t="s">
        <v>32</v>
      </c>
      <c r="H67" s="187"/>
      <c r="I67" s="128"/>
      <c r="J67" s="128"/>
      <c r="K67" s="128"/>
      <c r="L67" s="128"/>
    </row>
    <row r="68" spans="1:12" s="89" customFormat="1" x14ac:dyDescent="0.2">
      <c r="A68" s="238" t="s">
        <v>460</v>
      </c>
      <c r="B68" s="234">
        <v>400000</v>
      </c>
      <c r="C68" s="237">
        <v>400000</v>
      </c>
      <c r="D68" s="237">
        <v>175450</v>
      </c>
      <c r="E68" s="236">
        <f t="shared" si="2"/>
        <v>43.862499999999997</v>
      </c>
      <c r="F68" s="82">
        <v>101377</v>
      </c>
      <c r="G68" s="116" t="s">
        <v>32</v>
      </c>
      <c r="H68" s="187"/>
      <c r="I68" s="128"/>
      <c r="J68" s="128"/>
      <c r="K68" s="128"/>
      <c r="L68" s="128"/>
    </row>
    <row r="69" spans="1:12" s="89" customFormat="1" x14ac:dyDescent="0.2">
      <c r="A69" s="238" t="s">
        <v>461</v>
      </c>
      <c r="B69" s="234">
        <v>11667000</v>
      </c>
      <c r="C69" s="237">
        <v>22098401.5</v>
      </c>
      <c r="D69" s="237">
        <v>15626496.15</v>
      </c>
      <c r="E69" s="236">
        <f t="shared" si="2"/>
        <v>70.7132420867636</v>
      </c>
      <c r="F69" s="82">
        <v>101378</v>
      </c>
      <c r="G69" s="116" t="s">
        <v>32</v>
      </c>
      <c r="H69" s="187"/>
      <c r="I69" s="128"/>
      <c r="J69" s="128"/>
      <c r="K69" s="128"/>
      <c r="L69" s="128"/>
    </row>
    <row r="70" spans="1:12" s="89" customFormat="1" ht="25.5" x14ac:dyDescent="0.2">
      <c r="A70" s="238" t="s">
        <v>462</v>
      </c>
      <c r="B70" s="234">
        <v>3600000</v>
      </c>
      <c r="C70" s="237">
        <v>253970</v>
      </c>
      <c r="D70" s="237">
        <v>183354</v>
      </c>
      <c r="E70" s="236">
        <f t="shared" si="2"/>
        <v>72.195141158404539</v>
      </c>
      <c r="F70" s="82">
        <v>101379</v>
      </c>
      <c r="G70" s="116" t="s">
        <v>32</v>
      </c>
      <c r="H70" s="187"/>
      <c r="I70" s="128"/>
      <c r="J70" s="128"/>
      <c r="K70" s="128"/>
      <c r="L70" s="128"/>
    </row>
    <row r="71" spans="1:12" s="89" customFormat="1" x14ac:dyDescent="0.2">
      <c r="A71" s="238" t="s">
        <v>463</v>
      </c>
      <c r="B71" s="234">
        <v>300000</v>
      </c>
      <c r="C71" s="237">
        <v>314600</v>
      </c>
      <c r="D71" s="237">
        <v>314600</v>
      </c>
      <c r="E71" s="236">
        <f t="shared" si="2"/>
        <v>100</v>
      </c>
      <c r="F71" s="82">
        <v>101380</v>
      </c>
      <c r="G71" s="116" t="s">
        <v>32</v>
      </c>
      <c r="H71" s="187"/>
      <c r="I71" s="128"/>
      <c r="J71" s="128"/>
      <c r="K71" s="128"/>
      <c r="L71" s="128"/>
    </row>
    <row r="72" spans="1:12" s="89" customFormat="1" ht="25.5" x14ac:dyDescent="0.2">
      <c r="A72" s="238" t="s">
        <v>464</v>
      </c>
      <c r="B72" s="234">
        <v>300000</v>
      </c>
      <c r="C72" s="237">
        <v>453346</v>
      </c>
      <c r="D72" s="237">
        <v>376673</v>
      </c>
      <c r="E72" s="236">
        <f t="shared" si="2"/>
        <v>83.08731079572776</v>
      </c>
      <c r="F72" s="82">
        <v>101381</v>
      </c>
      <c r="G72" s="116" t="s">
        <v>32</v>
      </c>
      <c r="H72" s="187"/>
      <c r="I72" s="128"/>
      <c r="J72" s="128"/>
      <c r="K72" s="128"/>
      <c r="L72" s="128"/>
    </row>
    <row r="73" spans="1:12" s="89" customFormat="1" x14ac:dyDescent="0.2">
      <c r="A73" s="238" t="s">
        <v>465</v>
      </c>
      <c r="B73" s="234">
        <v>400000</v>
      </c>
      <c r="C73" s="237">
        <v>676390</v>
      </c>
      <c r="D73" s="237">
        <v>370986</v>
      </c>
      <c r="E73" s="236">
        <f t="shared" si="2"/>
        <v>54.847942754919501</v>
      </c>
      <c r="F73" s="82">
        <v>101382</v>
      </c>
      <c r="G73" s="116" t="s">
        <v>32</v>
      </c>
      <c r="H73" s="187"/>
      <c r="I73" s="128"/>
      <c r="J73" s="128"/>
      <c r="K73" s="128"/>
      <c r="L73" s="128"/>
    </row>
    <row r="74" spans="1:12" s="89" customFormat="1" ht="25.5" x14ac:dyDescent="0.2">
      <c r="A74" s="238" t="s">
        <v>466</v>
      </c>
      <c r="B74" s="234">
        <v>480000</v>
      </c>
      <c r="C74" s="237">
        <v>244000</v>
      </c>
      <c r="D74" s="237">
        <v>0</v>
      </c>
      <c r="E74" s="236">
        <f t="shared" si="2"/>
        <v>0</v>
      </c>
      <c r="F74" s="82">
        <v>101383</v>
      </c>
      <c r="G74" s="116" t="s">
        <v>32</v>
      </c>
      <c r="H74" s="187"/>
      <c r="I74" s="128"/>
      <c r="J74" s="128"/>
      <c r="K74" s="128"/>
      <c r="L74" s="128"/>
    </row>
    <row r="75" spans="1:12" s="89" customFormat="1" x14ac:dyDescent="0.2">
      <c r="A75" s="238" t="s">
        <v>467</v>
      </c>
      <c r="B75" s="234">
        <v>500000</v>
      </c>
      <c r="C75" s="237">
        <v>500000</v>
      </c>
      <c r="D75" s="237">
        <v>385264</v>
      </c>
      <c r="E75" s="236">
        <f t="shared" si="2"/>
        <v>77.052800000000005</v>
      </c>
      <c r="F75" s="82">
        <v>101384</v>
      </c>
      <c r="G75" s="116" t="s">
        <v>32</v>
      </c>
      <c r="H75" s="187"/>
      <c r="I75" s="128"/>
      <c r="J75" s="128"/>
      <c r="K75" s="128"/>
      <c r="L75" s="128"/>
    </row>
    <row r="76" spans="1:12" s="89" customFormat="1" ht="25.5" x14ac:dyDescent="0.2">
      <c r="A76" s="238" t="s">
        <v>468</v>
      </c>
      <c r="B76" s="234">
        <v>3000000</v>
      </c>
      <c r="C76" s="237">
        <v>3297892</v>
      </c>
      <c r="D76" s="237">
        <v>3016686.58</v>
      </c>
      <c r="E76" s="236">
        <f t="shared" si="2"/>
        <v>91.473176805062138</v>
      </c>
      <c r="F76" s="82">
        <v>101385</v>
      </c>
      <c r="G76" s="116" t="s">
        <v>32</v>
      </c>
      <c r="H76" s="187"/>
      <c r="I76" s="128"/>
      <c r="J76" s="128"/>
      <c r="K76" s="128"/>
      <c r="L76" s="128"/>
    </row>
    <row r="77" spans="1:12" s="89" customFormat="1" ht="25.5" x14ac:dyDescent="0.2">
      <c r="A77" s="238" t="s">
        <v>469</v>
      </c>
      <c r="B77" s="234">
        <v>400000</v>
      </c>
      <c r="C77" s="237">
        <v>400000</v>
      </c>
      <c r="D77" s="237">
        <v>266079</v>
      </c>
      <c r="E77" s="236">
        <f t="shared" si="2"/>
        <v>66.519750000000002</v>
      </c>
      <c r="F77" s="82">
        <v>101386</v>
      </c>
      <c r="G77" s="116" t="s">
        <v>32</v>
      </c>
      <c r="H77" s="187"/>
      <c r="I77" s="128"/>
      <c r="J77" s="128"/>
      <c r="K77" s="128"/>
      <c r="L77" s="128"/>
    </row>
    <row r="78" spans="1:12" s="89" customFormat="1" x14ac:dyDescent="0.2">
      <c r="A78" s="238" t="s">
        <v>470</v>
      </c>
      <c r="B78" s="234">
        <v>300000</v>
      </c>
      <c r="C78" s="237">
        <v>347770</v>
      </c>
      <c r="D78" s="237">
        <v>347770</v>
      </c>
      <c r="E78" s="236">
        <f t="shared" si="2"/>
        <v>100</v>
      </c>
      <c r="F78" s="82">
        <v>101387</v>
      </c>
      <c r="G78" s="116" t="s">
        <v>32</v>
      </c>
      <c r="H78" s="187"/>
      <c r="I78" s="128"/>
      <c r="J78" s="128"/>
      <c r="K78" s="128"/>
      <c r="L78" s="128"/>
    </row>
    <row r="79" spans="1:12" s="89" customFormat="1" x14ac:dyDescent="0.2">
      <c r="A79" s="238" t="s">
        <v>471</v>
      </c>
      <c r="B79" s="234">
        <v>300000</v>
      </c>
      <c r="C79" s="237">
        <v>300000</v>
      </c>
      <c r="D79" s="237">
        <v>0</v>
      </c>
      <c r="E79" s="236">
        <f t="shared" si="2"/>
        <v>0</v>
      </c>
      <c r="F79" s="82">
        <v>101388</v>
      </c>
      <c r="G79" s="116" t="s">
        <v>32</v>
      </c>
      <c r="H79" s="187"/>
      <c r="I79" s="128"/>
      <c r="J79" s="128"/>
      <c r="K79" s="128"/>
      <c r="L79" s="128"/>
    </row>
    <row r="80" spans="1:12" s="89" customFormat="1" ht="25.5" x14ac:dyDescent="0.2">
      <c r="A80" s="238" t="s">
        <v>472</v>
      </c>
      <c r="B80" s="234">
        <v>300000</v>
      </c>
      <c r="C80" s="237">
        <v>0</v>
      </c>
      <c r="D80" s="237">
        <v>0</v>
      </c>
      <c r="E80" s="236">
        <v>0</v>
      </c>
      <c r="F80" s="82">
        <v>101389</v>
      </c>
      <c r="G80" s="116" t="s">
        <v>32</v>
      </c>
      <c r="H80" s="187"/>
      <c r="I80" s="128"/>
      <c r="J80" s="128"/>
      <c r="K80" s="128"/>
      <c r="L80" s="128"/>
    </row>
    <row r="81" spans="1:12" s="89" customFormat="1" x14ac:dyDescent="0.2">
      <c r="A81" s="238" t="s">
        <v>473</v>
      </c>
      <c r="B81" s="234">
        <v>800000</v>
      </c>
      <c r="C81" s="237">
        <v>800000</v>
      </c>
      <c r="D81" s="237">
        <v>102850</v>
      </c>
      <c r="E81" s="236">
        <f t="shared" ref="E81:E95" si="3">D81/C81*100</f>
        <v>12.856249999999999</v>
      </c>
      <c r="F81" s="82">
        <v>101390</v>
      </c>
      <c r="G81" s="116" t="s">
        <v>32</v>
      </c>
      <c r="H81" s="187"/>
      <c r="I81" s="128"/>
      <c r="J81" s="128"/>
      <c r="K81" s="128"/>
      <c r="L81" s="128"/>
    </row>
    <row r="82" spans="1:12" s="89" customFormat="1" ht="25.5" x14ac:dyDescent="0.2">
      <c r="A82" s="238" t="s">
        <v>474</v>
      </c>
      <c r="B82" s="234">
        <v>300000</v>
      </c>
      <c r="C82" s="237">
        <v>300000</v>
      </c>
      <c r="D82" s="237">
        <v>180290</v>
      </c>
      <c r="E82" s="236">
        <f t="shared" si="3"/>
        <v>60.096666666666664</v>
      </c>
      <c r="F82" s="82">
        <v>101391</v>
      </c>
      <c r="G82" s="116" t="s">
        <v>32</v>
      </c>
      <c r="H82" s="187"/>
      <c r="I82" s="128"/>
      <c r="J82" s="128"/>
      <c r="K82" s="128"/>
      <c r="L82" s="128"/>
    </row>
    <row r="83" spans="1:12" s="89" customFormat="1" x14ac:dyDescent="0.2">
      <c r="A83" s="238" t="s">
        <v>475</v>
      </c>
      <c r="B83" s="234">
        <v>9500000</v>
      </c>
      <c r="C83" s="237">
        <v>112665</v>
      </c>
      <c r="D83" s="237">
        <v>59895</v>
      </c>
      <c r="E83" s="236">
        <f t="shared" si="3"/>
        <v>53.16202902409799</v>
      </c>
      <c r="F83" s="82">
        <v>101392</v>
      </c>
      <c r="G83" s="116" t="s">
        <v>32</v>
      </c>
      <c r="H83" s="187"/>
      <c r="I83" s="128"/>
      <c r="J83" s="128"/>
      <c r="K83" s="128"/>
      <c r="L83" s="128"/>
    </row>
    <row r="84" spans="1:12" s="89" customFormat="1" ht="25.5" x14ac:dyDescent="0.2">
      <c r="A84" s="238" t="s">
        <v>476</v>
      </c>
      <c r="B84" s="234">
        <v>300000</v>
      </c>
      <c r="C84" s="237">
        <v>0</v>
      </c>
      <c r="D84" s="237">
        <v>0</v>
      </c>
      <c r="E84" s="236">
        <v>0</v>
      </c>
      <c r="F84" s="82">
        <v>101393</v>
      </c>
      <c r="G84" s="116" t="s">
        <v>32</v>
      </c>
      <c r="H84" s="187"/>
      <c r="I84" s="128"/>
      <c r="J84" s="128"/>
      <c r="K84" s="128"/>
      <c r="L84" s="128"/>
    </row>
    <row r="85" spans="1:12" s="89" customFormat="1" x14ac:dyDescent="0.2">
      <c r="A85" s="238" t="s">
        <v>477</v>
      </c>
      <c r="B85" s="234">
        <v>150000</v>
      </c>
      <c r="C85" s="237">
        <v>238000</v>
      </c>
      <c r="D85" s="237">
        <v>237160</v>
      </c>
      <c r="E85" s="236">
        <f t="shared" si="3"/>
        <v>99.647058823529406</v>
      </c>
      <c r="F85" s="82">
        <v>101394</v>
      </c>
      <c r="G85" s="116" t="s">
        <v>32</v>
      </c>
      <c r="H85" s="187"/>
      <c r="I85" s="128"/>
      <c r="J85" s="128"/>
      <c r="K85" s="128"/>
      <c r="L85" s="128"/>
    </row>
    <row r="86" spans="1:12" s="89" customFormat="1" ht="25.5" x14ac:dyDescent="0.2">
      <c r="A86" s="238" t="s">
        <v>478</v>
      </c>
      <c r="B86" s="234">
        <v>315000</v>
      </c>
      <c r="C86" s="237">
        <v>364887.6</v>
      </c>
      <c r="D86" s="237">
        <v>364887.6</v>
      </c>
      <c r="E86" s="236">
        <f t="shared" si="3"/>
        <v>100</v>
      </c>
      <c r="F86" s="82">
        <v>101395</v>
      </c>
      <c r="G86" s="116" t="s">
        <v>32</v>
      </c>
      <c r="H86" s="187"/>
      <c r="I86" s="128"/>
      <c r="J86" s="128"/>
      <c r="K86" s="128"/>
      <c r="L86" s="128"/>
    </row>
    <row r="87" spans="1:12" s="89" customFormat="1" ht="25.5" x14ac:dyDescent="0.2">
      <c r="A87" s="238" t="s">
        <v>479</v>
      </c>
      <c r="B87" s="234">
        <v>1400000</v>
      </c>
      <c r="C87" s="237">
        <v>1350112.4</v>
      </c>
      <c r="D87" s="237">
        <v>398090</v>
      </c>
      <c r="E87" s="236">
        <f t="shared" si="3"/>
        <v>29.485693191174306</v>
      </c>
      <c r="F87" s="82">
        <v>101396</v>
      </c>
      <c r="G87" s="116" t="s">
        <v>32</v>
      </c>
      <c r="H87" s="187"/>
      <c r="I87" s="128"/>
      <c r="J87" s="128"/>
      <c r="K87" s="128"/>
      <c r="L87" s="128"/>
    </row>
    <row r="88" spans="1:12" s="89" customFormat="1" ht="25.5" x14ac:dyDescent="0.2">
      <c r="A88" s="238" t="s">
        <v>480</v>
      </c>
      <c r="B88" s="234">
        <v>300000</v>
      </c>
      <c r="C88" s="237">
        <v>300000</v>
      </c>
      <c r="D88" s="237">
        <v>185130</v>
      </c>
      <c r="E88" s="236">
        <f t="shared" si="3"/>
        <v>61.71</v>
      </c>
      <c r="F88" s="82">
        <v>101397</v>
      </c>
      <c r="G88" s="116" t="s">
        <v>32</v>
      </c>
      <c r="H88" s="187"/>
      <c r="I88" s="128"/>
      <c r="J88" s="128"/>
      <c r="K88" s="128"/>
      <c r="L88" s="128"/>
    </row>
    <row r="89" spans="1:12" s="89" customFormat="1" x14ac:dyDescent="0.2">
      <c r="A89" s="238" t="s">
        <v>481</v>
      </c>
      <c r="B89" s="234">
        <v>350000</v>
      </c>
      <c r="C89" s="237">
        <v>350000</v>
      </c>
      <c r="D89" s="237">
        <v>266200</v>
      </c>
      <c r="E89" s="236">
        <f t="shared" si="3"/>
        <v>76.05714285714285</v>
      </c>
      <c r="F89" s="82">
        <v>101398</v>
      </c>
      <c r="G89" s="116" t="s">
        <v>32</v>
      </c>
      <c r="H89" s="187"/>
      <c r="I89" s="128"/>
      <c r="J89" s="128"/>
      <c r="K89" s="128"/>
      <c r="L89" s="128"/>
    </row>
    <row r="90" spans="1:12" s="89" customFormat="1" x14ac:dyDescent="0.2">
      <c r="A90" s="238" t="s">
        <v>482</v>
      </c>
      <c r="B90" s="234">
        <v>500000</v>
      </c>
      <c r="C90" s="237">
        <v>0</v>
      </c>
      <c r="D90" s="237">
        <v>0</v>
      </c>
      <c r="E90" s="236">
        <v>0</v>
      </c>
      <c r="F90" s="82">
        <v>101399</v>
      </c>
      <c r="G90" s="116" t="s">
        <v>32</v>
      </c>
      <c r="H90" s="187"/>
      <c r="I90" s="128"/>
      <c r="J90" s="128"/>
      <c r="K90" s="128"/>
      <c r="L90" s="128"/>
    </row>
    <row r="91" spans="1:12" s="89" customFormat="1" x14ac:dyDescent="0.2">
      <c r="A91" s="238" t="s">
        <v>483</v>
      </c>
      <c r="B91" s="234">
        <v>1000000</v>
      </c>
      <c r="C91" s="237">
        <v>0</v>
      </c>
      <c r="D91" s="237">
        <v>0</v>
      </c>
      <c r="E91" s="236">
        <v>0</v>
      </c>
      <c r="F91" s="82">
        <v>101400</v>
      </c>
      <c r="G91" s="116" t="s">
        <v>32</v>
      </c>
      <c r="H91" s="187"/>
      <c r="I91" s="128"/>
      <c r="J91" s="128"/>
      <c r="K91" s="128"/>
      <c r="L91" s="128"/>
    </row>
    <row r="92" spans="1:12" s="89" customFormat="1" ht="25.5" x14ac:dyDescent="0.2">
      <c r="A92" s="238" t="s">
        <v>484</v>
      </c>
      <c r="B92" s="234">
        <v>300000</v>
      </c>
      <c r="C92" s="237">
        <v>572182</v>
      </c>
      <c r="D92" s="237">
        <v>572182</v>
      </c>
      <c r="E92" s="236">
        <f t="shared" si="3"/>
        <v>100</v>
      </c>
      <c r="F92" s="82">
        <v>101401</v>
      </c>
      <c r="G92" s="116" t="s">
        <v>32</v>
      </c>
      <c r="H92" s="187"/>
      <c r="I92" s="128"/>
      <c r="J92" s="128"/>
      <c r="K92" s="128"/>
      <c r="L92" s="128"/>
    </row>
    <row r="93" spans="1:12" s="89" customFormat="1" ht="25.5" x14ac:dyDescent="0.2">
      <c r="A93" s="238" t="s">
        <v>485</v>
      </c>
      <c r="B93" s="234">
        <v>1600000</v>
      </c>
      <c r="C93" s="237">
        <v>99000</v>
      </c>
      <c r="D93" s="237">
        <v>87400</v>
      </c>
      <c r="E93" s="236">
        <f t="shared" si="3"/>
        <v>88.282828282828291</v>
      </c>
      <c r="F93" s="82">
        <v>101402</v>
      </c>
      <c r="G93" s="116" t="s">
        <v>32</v>
      </c>
      <c r="H93" s="187"/>
      <c r="I93" s="128"/>
      <c r="J93" s="128"/>
      <c r="K93" s="128"/>
      <c r="L93" s="128"/>
    </row>
    <row r="94" spans="1:12" s="89" customFormat="1" x14ac:dyDescent="0.2">
      <c r="A94" s="238" t="s">
        <v>486</v>
      </c>
      <c r="B94" s="234">
        <v>0</v>
      </c>
      <c r="C94" s="237">
        <v>3200359.72</v>
      </c>
      <c r="D94" s="237">
        <v>2321874.09</v>
      </c>
      <c r="E94" s="236">
        <f t="shared" si="3"/>
        <v>72.55040973956514</v>
      </c>
      <c r="F94" s="82">
        <v>101442</v>
      </c>
      <c r="G94" s="116" t="s">
        <v>32</v>
      </c>
      <c r="H94" s="187"/>
      <c r="I94" s="128"/>
      <c r="J94" s="128"/>
      <c r="K94" s="128"/>
      <c r="L94" s="128"/>
    </row>
    <row r="95" spans="1:12" s="89" customFormat="1" ht="13.5" thickBot="1" x14ac:dyDescent="0.25">
      <c r="A95" s="239" t="s">
        <v>487</v>
      </c>
      <c r="B95" s="450">
        <v>0</v>
      </c>
      <c r="C95" s="240">
        <v>2826088.04</v>
      </c>
      <c r="D95" s="240">
        <v>2652763.84</v>
      </c>
      <c r="E95" s="241">
        <f t="shared" si="3"/>
        <v>93.866992197454678</v>
      </c>
      <c r="F95" s="82">
        <v>101447</v>
      </c>
      <c r="G95" s="116" t="s">
        <v>32</v>
      </c>
      <c r="H95" s="187"/>
      <c r="I95" s="128"/>
      <c r="J95" s="128"/>
      <c r="K95" s="128"/>
      <c r="L95" s="128"/>
    </row>
    <row r="96" spans="1:12" s="50" customFormat="1" ht="13.5" thickTop="1" x14ac:dyDescent="0.2">
      <c r="A96" s="179"/>
      <c r="B96" s="114"/>
      <c r="C96" s="142"/>
      <c r="D96" s="142"/>
      <c r="E96" s="53"/>
      <c r="F96" s="82"/>
      <c r="G96" s="152"/>
      <c r="H96" s="188"/>
    </row>
    <row r="97" spans="1:7" ht="15.75" thickBot="1" x14ac:dyDescent="0.25">
      <c r="A97" s="184" t="s">
        <v>29</v>
      </c>
      <c r="B97" s="491"/>
      <c r="C97" s="9"/>
      <c r="D97" s="10"/>
      <c r="E97" s="185" t="s">
        <v>18</v>
      </c>
    </row>
    <row r="98" spans="1:7" ht="14.25" thickTop="1" thickBot="1" x14ac:dyDescent="0.25">
      <c r="A98" s="41" t="s">
        <v>5</v>
      </c>
      <c r="B98" s="42" t="s">
        <v>0</v>
      </c>
      <c r="C98" s="43" t="s">
        <v>1</v>
      </c>
      <c r="D98" s="44" t="s">
        <v>4</v>
      </c>
      <c r="E98" s="45" t="s">
        <v>6</v>
      </c>
    </row>
    <row r="99" spans="1:7" ht="15.75" thickTop="1" x14ac:dyDescent="0.2">
      <c r="A99" s="46" t="s">
        <v>7</v>
      </c>
      <c r="B99" s="47">
        <f>SUM(B100:B174)</f>
        <v>39150000</v>
      </c>
      <c r="C99" s="47">
        <f t="shared" ref="C99:D99" si="4">SUM(C100:C174)</f>
        <v>55691466.659999996</v>
      </c>
      <c r="D99" s="47">
        <f t="shared" si="4"/>
        <v>55691466.659999996</v>
      </c>
      <c r="E99" s="59">
        <f>D99/C99*100</f>
        <v>100</v>
      </c>
      <c r="F99" s="37"/>
    </row>
    <row r="100" spans="1:7" x14ac:dyDescent="0.2">
      <c r="A100" s="516" t="s">
        <v>297</v>
      </c>
      <c r="B100" s="514">
        <v>230000</v>
      </c>
      <c r="C100" s="517">
        <v>227705</v>
      </c>
      <c r="D100" s="517">
        <v>227705</v>
      </c>
      <c r="E100" s="515">
        <f t="shared" ref="E100" si="5">D100/C100*100</f>
        <v>100</v>
      </c>
      <c r="F100" s="95">
        <v>1001</v>
      </c>
      <c r="G100" s="121" t="s">
        <v>199</v>
      </c>
    </row>
    <row r="101" spans="1:7" x14ac:dyDescent="0.2">
      <c r="A101" s="238" t="s">
        <v>249</v>
      </c>
      <c r="B101" s="234">
        <v>1306000</v>
      </c>
      <c r="C101" s="234">
        <v>1306000</v>
      </c>
      <c r="D101" s="234">
        <v>1306000</v>
      </c>
      <c r="E101" s="236">
        <f t="shared" ref="E101:E174" si="6">D101/C101*100</f>
        <v>100</v>
      </c>
      <c r="F101" s="95">
        <v>1015</v>
      </c>
      <c r="G101" s="121" t="s">
        <v>199</v>
      </c>
    </row>
    <row r="102" spans="1:7" x14ac:dyDescent="0.2">
      <c r="A102" s="238" t="s">
        <v>540</v>
      </c>
      <c r="B102" s="234">
        <v>300000</v>
      </c>
      <c r="C102" s="234">
        <v>241237</v>
      </c>
      <c r="D102" s="234">
        <v>241237</v>
      </c>
      <c r="E102" s="236">
        <f t="shared" si="6"/>
        <v>100</v>
      </c>
      <c r="F102" s="95">
        <v>1032</v>
      </c>
      <c r="G102" s="121" t="s">
        <v>199</v>
      </c>
    </row>
    <row r="103" spans="1:7" x14ac:dyDescent="0.2">
      <c r="A103" s="238" t="s">
        <v>298</v>
      </c>
      <c r="B103" s="234">
        <v>850000</v>
      </c>
      <c r="C103" s="234">
        <v>990000</v>
      </c>
      <c r="D103" s="234">
        <v>990000</v>
      </c>
      <c r="E103" s="236">
        <f t="shared" si="6"/>
        <v>100</v>
      </c>
      <c r="F103" s="95">
        <v>1033</v>
      </c>
      <c r="G103" s="121" t="s">
        <v>199</v>
      </c>
    </row>
    <row r="104" spans="1:7" x14ac:dyDescent="0.2">
      <c r="A104" s="238" t="s">
        <v>541</v>
      </c>
      <c r="B104" s="234">
        <v>0</v>
      </c>
      <c r="C104" s="234">
        <v>62998</v>
      </c>
      <c r="D104" s="234">
        <v>62998</v>
      </c>
      <c r="E104" s="236">
        <f t="shared" si="6"/>
        <v>100</v>
      </c>
      <c r="F104" s="95">
        <v>1034</v>
      </c>
      <c r="G104" s="121" t="s">
        <v>199</v>
      </c>
    </row>
    <row r="105" spans="1:7" x14ac:dyDescent="0.2">
      <c r="A105" s="238" t="s">
        <v>299</v>
      </c>
      <c r="B105" s="234">
        <v>586000</v>
      </c>
      <c r="C105" s="234">
        <v>582888</v>
      </c>
      <c r="D105" s="234">
        <v>582888</v>
      </c>
      <c r="E105" s="236">
        <f t="shared" si="6"/>
        <v>100</v>
      </c>
      <c r="F105" s="95">
        <v>1043</v>
      </c>
      <c r="G105" s="121" t="s">
        <v>199</v>
      </c>
    </row>
    <row r="106" spans="1:7" x14ac:dyDescent="0.2">
      <c r="A106" s="238" t="s">
        <v>542</v>
      </c>
      <c r="B106" s="234">
        <v>0</v>
      </c>
      <c r="C106" s="234">
        <v>175453</v>
      </c>
      <c r="D106" s="234">
        <v>175453</v>
      </c>
      <c r="E106" s="236">
        <f t="shared" si="6"/>
        <v>100</v>
      </c>
      <c r="F106" s="95">
        <v>1102</v>
      </c>
      <c r="G106" s="121" t="s">
        <v>199</v>
      </c>
    </row>
    <row r="107" spans="1:7" x14ac:dyDescent="0.2">
      <c r="A107" s="238" t="s">
        <v>543</v>
      </c>
      <c r="B107" s="234">
        <v>550000</v>
      </c>
      <c r="C107" s="234">
        <v>250000</v>
      </c>
      <c r="D107" s="234">
        <v>250000</v>
      </c>
      <c r="E107" s="236">
        <f t="shared" si="6"/>
        <v>100</v>
      </c>
      <c r="F107" s="95">
        <v>1103</v>
      </c>
      <c r="G107" s="121" t="s">
        <v>199</v>
      </c>
    </row>
    <row r="108" spans="1:7" x14ac:dyDescent="0.2">
      <c r="A108" s="238" t="s">
        <v>300</v>
      </c>
      <c r="B108" s="234">
        <v>1811000</v>
      </c>
      <c r="C108" s="234">
        <v>1946081.54</v>
      </c>
      <c r="D108" s="234">
        <v>1946081.54</v>
      </c>
      <c r="E108" s="236">
        <f t="shared" si="6"/>
        <v>100</v>
      </c>
      <c r="F108" s="95">
        <v>1104</v>
      </c>
      <c r="G108" s="121" t="s">
        <v>199</v>
      </c>
    </row>
    <row r="109" spans="1:7" x14ac:dyDescent="0.2">
      <c r="A109" s="238" t="s">
        <v>301</v>
      </c>
      <c r="B109" s="234">
        <v>80000</v>
      </c>
      <c r="C109" s="234">
        <v>80000</v>
      </c>
      <c r="D109" s="234">
        <v>80000</v>
      </c>
      <c r="E109" s="236">
        <f t="shared" si="6"/>
        <v>100</v>
      </c>
      <c r="F109" s="95">
        <v>1105</v>
      </c>
      <c r="G109" s="121" t="s">
        <v>199</v>
      </c>
    </row>
    <row r="110" spans="1:7" x14ac:dyDescent="0.2">
      <c r="A110" s="238" t="s">
        <v>544</v>
      </c>
      <c r="B110" s="234">
        <v>950000</v>
      </c>
      <c r="C110" s="234">
        <v>2014307</v>
      </c>
      <c r="D110" s="234">
        <v>2014307</v>
      </c>
      <c r="E110" s="236">
        <f t="shared" si="6"/>
        <v>100</v>
      </c>
      <c r="F110" s="95">
        <v>1106</v>
      </c>
      <c r="G110" s="121" t="s">
        <v>199</v>
      </c>
    </row>
    <row r="111" spans="1:7" x14ac:dyDescent="0.2">
      <c r="A111" s="238" t="s">
        <v>545</v>
      </c>
      <c r="B111" s="234">
        <v>411000</v>
      </c>
      <c r="C111" s="234">
        <v>0</v>
      </c>
      <c r="D111" s="234">
        <v>0</v>
      </c>
      <c r="E111" s="236">
        <v>0</v>
      </c>
      <c r="F111" s="95">
        <v>1108</v>
      </c>
      <c r="G111" s="121" t="s">
        <v>199</v>
      </c>
    </row>
    <row r="112" spans="1:7" x14ac:dyDescent="0.2">
      <c r="A112" s="238" t="s">
        <v>302</v>
      </c>
      <c r="B112" s="234">
        <v>150000</v>
      </c>
      <c r="C112" s="234">
        <v>150000</v>
      </c>
      <c r="D112" s="234">
        <v>150000</v>
      </c>
      <c r="E112" s="236">
        <f t="shared" si="6"/>
        <v>100</v>
      </c>
      <c r="F112" s="95">
        <v>1111</v>
      </c>
      <c r="G112" s="121" t="s">
        <v>199</v>
      </c>
    </row>
    <row r="113" spans="1:7" x14ac:dyDescent="0.2">
      <c r="A113" s="238" t="s">
        <v>546</v>
      </c>
      <c r="B113" s="234">
        <v>350000</v>
      </c>
      <c r="C113" s="234">
        <v>321873</v>
      </c>
      <c r="D113" s="234">
        <v>321873</v>
      </c>
      <c r="E113" s="236">
        <f t="shared" si="6"/>
        <v>100</v>
      </c>
      <c r="F113" s="95">
        <v>1112</v>
      </c>
      <c r="G113" s="121" t="s">
        <v>199</v>
      </c>
    </row>
    <row r="114" spans="1:7" x14ac:dyDescent="0.2">
      <c r="A114" s="238" t="s">
        <v>547</v>
      </c>
      <c r="B114" s="234">
        <v>490000</v>
      </c>
      <c r="C114" s="234">
        <v>484740</v>
      </c>
      <c r="D114" s="234">
        <v>484740</v>
      </c>
      <c r="E114" s="236">
        <f t="shared" si="6"/>
        <v>100</v>
      </c>
      <c r="F114" s="95">
        <v>1113</v>
      </c>
      <c r="G114" s="121" t="s">
        <v>199</v>
      </c>
    </row>
    <row r="115" spans="1:7" x14ac:dyDescent="0.2">
      <c r="A115" s="238" t="s">
        <v>311</v>
      </c>
      <c r="B115" s="234">
        <v>0</v>
      </c>
      <c r="C115" s="234">
        <v>50000</v>
      </c>
      <c r="D115" s="234">
        <v>50000</v>
      </c>
      <c r="E115" s="236">
        <f t="shared" si="6"/>
        <v>100</v>
      </c>
      <c r="F115" s="95">
        <v>1127</v>
      </c>
      <c r="G115" s="121" t="s">
        <v>199</v>
      </c>
    </row>
    <row r="116" spans="1:7" x14ac:dyDescent="0.2">
      <c r="A116" s="238" t="s">
        <v>548</v>
      </c>
      <c r="B116" s="234">
        <v>300000</v>
      </c>
      <c r="C116" s="234">
        <v>300000</v>
      </c>
      <c r="D116" s="234">
        <v>300000</v>
      </c>
      <c r="E116" s="236">
        <f t="shared" si="6"/>
        <v>100</v>
      </c>
      <c r="F116" s="95">
        <v>1129</v>
      </c>
      <c r="G116" s="121" t="s">
        <v>199</v>
      </c>
    </row>
    <row r="117" spans="1:7" x14ac:dyDescent="0.2">
      <c r="A117" s="238" t="s">
        <v>549</v>
      </c>
      <c r="B117" s="234">
        <v>650000</v>
      </c>
      <c r="C117" s="234">
        <v>645968</v>
      </c>
      <c r="D117" s="234">
        <v>645968</v>
      </c>
      <c r="E117" s="236">
        <f t="shared" si="6"/>
        <v>100</v>
      </c>
      <c r="F117" s="95">
        <v>1131</v>
      </c>
      <c r="G117" s="121" t="s">
        <v>199</v>
      </c>
    </row>
    <row r="118" spans="1:7" x14ac:dyDescent="0.2">
      <c r="A118" s="238" t="s">
        <v>312</v>
      </c>
      <c r="B118" s="234">
        <v>75000</v>
      </c>
      <c r="C118" s="234">
        <v>75000</v>
      </c>
      <c r="D118" s="234">
        <v>75000</v>
      </c>
      <c r="E118" s="236">
        <f t="shared" si="6"/>
        <v>100</v>
      </c>
      <c r="F118" s="95">
        <v>1132</v>
      </c>
      <c r="G118" s="121" t="s">
        <v>199</v>
      </c>
    </row>
    <row r="119" spans="1:7" x14ac:dyDescent="0.2">
      <c r="A119" s="238" t="s">
        <v>304</v>
      </c>
      <c r="B119" s="234">
        <v>393000</v>
      </c>
      <c r="C119" s="234">
        <v>392887</v>
      </c>
      <c r="D119" s="234">
        <v>392887</v>
      </c>
      <c r="E119" s="236">
        <f t="shared" si="6"/>
        <v>100</v>
      </c>
      <c r="F119" s="95">
        <v>1133</v>
      </c>
      <c r="G119" s="121" t="s">
        <v>199</v>
      </c>
    </row>
    <row r="120" spans="1:7" x14ac:dyDescent="0.2">
      <c r="A120" s="238" t="s">
        <v>249</v>
      </c>
      <c r="B120" s="234">
        <v>740000</v>
      </c>
      <c r="C120" s="234">
        <v>646804</v>
      </c>
      <c r="D120" s="234">
        <v>646804</v>
      </c>
      <c r="E120" s="236">
        <f t="shared" si="6"/>
        <v>100</v>
      </c>
      <c r="F120" s="95">
        <v>1135</v>
      </c>
      <c r="G120" s="121" t="s">
        <v>199</v>
      </c>
    </row>
    <row r="121" spans="1:7" x14ac:dyDescent="0.2">
      <c r="A121" s="238" t="s">
        <v>550</v>
      </c>
      <c r="B121" s="234">
        <v>0</v>
      </c>
      <c r="C121" s="234">
        <v>598522.56000000006</v>
      </c>
      <c r="D121" s="234">
        <v>598522.56000000006</v>
      </c>
      <c r="E121" s="236">
        <f t="shared" si="6"/>
        <v>100</v>
      </c>
      <c r="F121" s="95">
        <v>1136</v>
      </c>
      <c r="G121" s="121" t="s">
        <v>199</v>
      </c>
    </row>
    <row r="122" spans="1:7" ht="25.5" x14ac:dyDescent="0.2">
      <c r="A122" s="238" t="s">
        <v>551</v>
      </c>
      <c r="B122" s="234">
        <v>1167000</v>
      </c>
      <c r="C122" s="234">
        <v>1430200</v>
      </c>
      <c r="D122" s="234">
        <v>1430200</v>
      </c>
      <c r="E122" s="236">
        <f t="shared" si="6"/>
        <v>100</v>
      </c>
      <c r="F122" s="95">
        <v>1137</v>
      </c>
      <c r="G122" s="121" t="s">
        <v>199</v>
      </c>
    </row>
    <row r="123" spans="1:7" x14ac:dyDescent="0.2">
      <c r="A123" s="238" t="s">
        <v>313</v>
      </c>
      <c r="B123" s="234">
        <v>294000</v>
      </c>
      <c r="C123" s="234">
        <v>5773404</v>
      </c>
      <c r="D123" s="234">
        <v>5773404</v>
      </c>
      <c r="E123" s="236">
        <f t="shared" si="6"/>
        <v>100</v>
      </c>
      <c r="F123" s="95">
        <v>1138</v>
      </c>
      <c r="G123" s="121" t="s">
        <v>199</v>
      </c>
    </row>
    <row r="124" spans="1:7" x14ac:dyDescent="0.2">
      <c r="A124" s="238" t="s">
        <v>552</v>
      </c>
      <c r="B124" s="234">
        <v>0</v>
      </c>
      <c r="C124" s="234">
        <v>120272</v>
      </c>
      <c r="D124" s="234">
        <v>120272</v>
      </c>
      <c r="E124" s="236">
        <f t="shared" si="6"/>
        <v>100</v>
      </c>
      <c r="F124" s="95">
        <v>1142</v>
      </c>
      <c r="G124" s="121" t="s">
        <v>199</v>
      </c>
    </row>
    <row r="125" spans="1:7" x14ac:dyDescent="0.2">
      <c r="A125" s="238" t="s">
        <v>553</v>
      </c>
      <c r="B125" s="234">
        <v>294000</v>
      </c>
      <c r="C125" s="234">
        <v>563087.5</v>
      </c>
      <c r="D125" s="234">
        <v>563087.5</v>
      </c>
      <c r="E125" s="236">
        <f t="shared" si="6"/>
        <v>100</v>
      </c>
      <c r="F125" s="95">
        <v>1150</v>
      </c>
      <c r="G125" s="121" t="s">
        <v>199</v>
      </c>
    </row>
    <row r="126" spans="1:7" x14ac:dyDescent="0.2">
      <c r="A126" s="238" t="s">
        <v>306</v>
      </c>
      <c r="B126" s="234">
        <v>1632000</v>
      </c>
      <c r="C126" s="234">
        <v>917000</v>
      </c>
      <c r="D126" s="234">
        <v>917000</v>
      </c>
      <c r="E126" s="236">
        <f t="shared" si="6"/>
        <v>100</v>
      </c>
      <c r="F126" s="95">
        <v>1151</v>
      </c>
      <c r="G126" s="121" t="s">
        <v>199</v>
      </c>
    </row>
    <row r="127" spans="1:7" ht="25.5" x14ac:dyDescent="0.2">
      <c r="A127" s="238" t="s">
        <v>551</v>
      </c>
      <c r="B127" s="234">
        <v>350000</v>
      </c>
      <c r="C127" s="234">
        <v>0</v>
      </c>
      <c r="D127" s="234">
        <v>0</v>
      </c>
      <c r="E127" s="236">
        <v>0</v>
      </c>
      <c r="F127" s="95">
        <v>1153</v>
      </c>
      <c r="G127" s="121" t="s">
        <v>199</v>
      </c>
    </row>
    <row r="128" spans="1:7" ht="25.5" x14ac:dyDescent="0.2">
      <c r="A128" s="238" t="s">
        <v>318</v>
      </c>
      <c r="B128" s="234">
        <v>200000</v>
      </c>
      <c r="C128" s="234">
        <v>738930.29</v>
      </c>
      <c r="D128" s="234">
        <v>738930.29</v>
      </c>
      <c r="E128" s="236">
        <f t="shared" si="6"/>
        <v>100</v>
      </c>
      <c r="F128" s="95">
        <v>1160</v>
      </c>
      <c r="G128" s="121" t="s">
        <v>199</v>
      </c>
    </row>
    <row r="129" spans="1:7" x14ac:dyDescent="0.2">
      <c r="A129" s="238" t="s">
        <v>307</v>
      </c>
      <c r="B129" s="234">
        <v>500000</v>
      </c>
      <c r="C129" s="234">
        <v>1483749</v>
      </c>
      <c r="D129" s="234">
        <v>1483749</v>
      </c>
      <c r="E129" s="236">
        <f t="shared" si="6"/>
        <v>100</v>
      </c>
      <c r="F129" s="95">
        <v>1202</v>
      </c>
      <c r="G129" s="121" t="s">
        <v>199</v>
      </c>
    </row>
    <row r="130" spans="1:7" x14ac:dyDescent="0.2">
      <c r="A130" s="238" t="s">
        <v>321</v>
      </c>
      <c r="B130" s="234">
        <v>820000</v>
      </c>
      <c r="C130" s="234">
        <v>939986</v>
      </c>
      <c r="D130" s="234">
        <v>939986</v>
      </c>
      <c r="E130" s="236">
        <f t="shared" si="6"/>
        <v>100</v>
      </c>
      <c r="F130" s="95">
        <v>1206</v>
      </c>
      <c r="G130" s="121" t="s">
        <v>199</v>
      </c>
    </row>
    <row r="131" spans="1:7" x14ac:dyDescent="0.2">
      <c r="A131" s="238" t="s">
        <v>554</v>
      </c>
      <c r="B131" s="234">
        <v>490000</v>
      </c>
      <c r="C131" s="234">
        <v>1649123</v>
      </c>
      <c r="D131" s="234">
        <v>1649123</v>
      </c>
      <c r="E131" s="236">
        <f t="shared" si="6"/>
        <v>100</v>
      </c>
      <c r="F131" s="95">
        <v>1207</v>
      </c>
      <c r="G131" s="121" t="s">
        <v>199</v>
      </c>
    </row>
    <row r="132" spans="1:7" x14ac:dyDescent="0.2">
      <c r="A132" s="238" t="s">
        <v>555</v>
      </c>
      <c r="B132" s="234">
        <v>369000</v>
      </c>
      <c r="C132" s="234">
        <v>369000</v>
      </c>
      <c r="D132" s="234">
        <v>369000</v>
      </c>
      <c r="E132" s="236">
        <f t="shared" si="6"/>
        <v>100</v>
      </c>
      <c r="F132" s="95">
        <v>1212</v>
      </c>
      <c r="G132" s="121" t="s">
        <v>199</v>
      </c>
    </row>
    <row r="133" spans="1:7" x14ac:dyDescent="0.2">
      <c r="A133" s="238" t="s">
        <v>309</v>
      </c>
      <c r="B133" s="234">
        <v>500000</v>
      </c>
      <c r="C133" s="234">
        <v>998254</v>
      </c>
      <c r="D133" s="234">
        <v>998254</v>
      </c>
      <c r="E133" s="236">
        <f t="shared" si="6"/>
        <v>100</v>
      </c>
      <c r="F133" s="95">
        <v>1223</v>
      </c>
      <c r="G133" s="121" t="s">
        <v>199</v>
      </c>
    </row>
    <row r="134" spans="1:7" x14ac:dyDescent="0.2">
      <c r="A134" s="238" t="s">
        <v>556</v>
      </c>
      <c r="B134" s="234">
        <v>501000</v>
      </c>
      <c r="C134" s="234">
        <v>501000</v>
      </c>
      <c r="D134" s="234">
        <v>501000</v>
      </c>
      <c r="E134" s="236">
        <f t="shared" si="6"/>
        <v>100</v>
      </c>
      <c r="F134" s="95">
        <v>1311</v>
      </c>
      <c r="G134" s="121" t="s">
        <v>199</v>
      </c>
    </row>
    <row r="135" spans="1:7" x14ac:dyDescent="0.2">
      <c r="A135" s="238" t="s">
        <v>308</v>
      </c>
      <c r="B135" s="234">
        <v>740000</v>
      </c>
      <c r="C135" s="234">
        <v>739537</v>
      </c>
      <c r="D135" s="234">
        <v>739537</v>
      </c>
      <c r="E135" s="236">
        <f t="shared" si="6"/>
        <v>100</v>
      </c>
      <c r="F135" s="95">
        <v>1400</v>
      </c>
      <c r="G135" s="121" t="s">
        <v>199</v>
      </c>
    </row>
    <row r="136" spans="1:7" x14ac:dyDescent="0.2">
      <c r="A136" s="516" t="s">
        <v>557</v>
      </c>
      <c r="B136" s="234">
        <v>50000</v>
      </c>
      <c r="C136" s="234">
        <v>50000</v>
      </c>
      <c r="D136" s="234">
        <v>50000</v>
      </c>
      <c r="E136" s="236">
        <f t="shared" si="6"/>
        <v>100</v>
      </c>
      <c r="F136" s="95">
        <v>1403</v>
      </c>
      <c r="G136" s="121" t="s">
        <v>199</v>
      </c>
    </row>
    <row r="137" spans="1:7" ht="25.5" x14ac:dyDescent="0.2">
      <c r="A137" s="516" t="s">
        <v>324</v>
      </c>
      <c r="B137" s="234">
        <v>0</v>
      </c>
      <c r="C137" s="234">
        <v>39778</v>
      </c>
      <c r="D137" s="234">
        <v>39778</v>
      </c>
      <c r="E137" s="236">
        <f t="shared" si="6"/>
        <v>100</v>
      </c>
      <c r="F137" s="95">
        <v>1450</v>
      </c>
      <c r="G137" s="121" t="s">
        <v>199</v>
      </c>
    </row>
    <row r="138" spans="1:7" x14ac:dyDescent="0.2">
      <c r="A138" s="516" t="s">
        <v>558</v>
      </c>
      <c r="B138" s="234">
        <v>222000</v>
      </c>
      <c r="C138" s="234">
        <v>484563</v>
      </c>
      <c r="D138" s="234">
        <v>484563</v>
      </c>
      <c r="E138" s="236">
        <f t="shared" si="6"/>
        <v>100</v>
      </c>
      <c r="F138" s="95">
        <v>1038</v>
      </c>
      <c r="G138" s="121" t="s">
        <v>201</v>
      </c>
    </row>
    <row r="139" spans="1:7" x14ac:dyDescent="0.2">
      <c r="A139" s="516" t="s">
        <v>299</v>
      </c>
      <c r="B139" s="234">
        <v>150000</v>
      </c>
      <c r="C139" s="234">
        <v>150000</v>
      </c>
      <c r="D139" s="234">
        <v>150000</v>
      </c>
      <c r="E139" s="236">
        <f t="shared" si="6"/>
        <v>100</v>
      </c>
      <c r="F139" s="95">
        <v>1043</v>
      </c>
      <c r="G139" s="121" t="s">
        <v>201</v>
      </c>
    </row>
    <row r="140" spans="1:7" x14ac:dyDescent="0.2">
      <c r="A140" s="238" t="s">
        <v>543</v>
      </c>
      <c r="B140" s="234">
        <v>1000000</v>
      </c>
      <c r="C140" s="234">
        <v>994350.72</v>
      </c>
      <c r="D140" s="234">
        <v>994350.72</v>
      </c>
      <c r="E140" s="236">
        <f t="shared" si="6"/>
        <v>100</v>
      </c>
      <c r="F140" s="95">
        <v>1103</v>
      </c>
      <c r="G140" s="121" t="s">
        <v>201</v>
      </c>
    </row>
    <row r="141" spans="1:7" x14ac:dyDescent="0.2">
      <c r="A141" s="238" t="s">
        <v>300</v>
      </c>
      <c r="B141" s="234">
        <v>789000</v>
      </c>
      <c r="C141" s="234">
        <v>773782.9</v>
      </c>
      <c r="D141" s="234">
        <v>773782.9</v>
      </c>
      <c r="E141" s="236">
        <f t="shared" si="6"/>
        <v>100</v>
      </c>
      <c r="F141" s="95">
        <v>1104</v>
      </c>
      <c r="G141" s="121" t="s">
        <v>201</v>
      </c>
    </row>
    <row r="142" spans="1:7" x14ac:dyDescent="0.2">
      <c r="A142" s="238" t="s">
        <v>302</v>
      </c>
      <c r="B142" s="234">
        <v>95000</v>
      </c>
      <c r="C142" s="234">
        <v>78200</v>
      </c>
      <c r="D142" s="234">
        <v>78200</v>
      </c>
      <c r="E142" s="236">
        <f t="shared" si="6"/>
        <v>100</v>
      </c>
      <c r="F142" s="95">
        <v>1111</v>
      </c>
      <c r="G142" s="121" t="s">
        <v>201</v>
      </c>
    </row>
    <row r="143" spans="1:7" ht="25.5" x14ac:dyDescent="0.2">
      <c r="A143" s="238" t="s">
        <v>559</v>
      </c>
      <c r="B143" s="234">
        <v>655000</v>
      </c>
      <c r="C143" s="234">
        <v>1451816.34</v>
      </c>
      <c r="D143" s="234">
        <v>1451816.34</v>
      </c>
      <c r="E143" s="236">
        <f t="shared" si="6"/>
        <v>100</v>
      </c>
      <c r="F143" s="95">
        <v>1120</v>
      </c>
      <c r="G143" s="121" t="s">
        <v>201</v>
      </c>
    </row>
    <row r="144" spans="1:7" x14ac:dyDescent="0.2">
      <c r="A144" s="238" t="s">
        <v>310</v>
      </c>
      <c r="B144" s="234">
        <v>5600000</v>
      </c>
      <c r="C144" s="234">
        <v>6470206</v>
      </c>
      <c r="D144" s="234">
        <v>6470206</v>
      </c>
      <c r="E144" s="236">
        <f t="shared" si="6"/>
        <v>100</v>
      </c>
      <c r="F144" s="95">
        <v>1121</v>
      </c>
      <c r="G144" s="121" t="s">
        <v>201</v>
      </c>
    </row>
    <row r="145" spans="1:7" x14ac:dyDescent="0.2">
      <c r="A145" s="238" t="s">
        <v>410</v>
      </c>
      <c r="B145" s="234">
        <v>0</v>
      </c>
      <c r="C145" s="234">
        <v>146800</v>
      </c>
      <c r="D145" s="234">
        <v>146800</v>
      </c>
      <c r="E145" s="236">
        <f t="shared" si="6"/>
        <v>100</v>
      </c>
      <c r="F145" s="95">
        <v>1123</v>
      </c>
      <c r="G145" s="121" t="s">
        <v>201</v>
      </c>
    </row>
    <row r="146" spans="1:7" x14ac:dyDescent="0.2">
      <c r="A146" s="238" t="s">
        <v>311</v>
      </c>
      <c r="B146" s="234">
        <v>0</v>
      </c>
      <c r="C146" s="234">
        <v>798600</v>
      </c>
      <c r="D146" s="234">
        <v>798600</v>
      </c>
      <c r="E146" s="236">
        <f t="shared" si="6"/>
        <v>100</v>
      </c>
      <c r="F146" s="95">
        <v>1127</v>
      </c>
      <c r="G146" s="121" t="s">
        <v>201</v>
      </c>
    </row>
    <row r="147" spans="1:7" x14ac:dyDescent="0.2">
      <c r="A147" s="238" t="s">
        <v>303</v>
      </c>
      <c r="B147" s="234">
        <v>360000</v>
      </c>
      <c r="C147" s="234">
        <v>121000</v>
      </c>
      <c r="D147" s="234">
        <v>121000</v>
      </c>
      <c r="E147" s="236">
        <f t="shared" si="6"/>
        <v>100</v>
      </c>
      <c r="F147" s="95">
        <v>1128</v>
      </c>
      <c r="G147" s="121" t="s">
        <v>201</v>
      </c>
    </row>
    <row r="148" spans="1:7" x14ac:dyDescent="0.2">
      <c r="A148" s="238" t="s">
        <v>312</v>
      </c>
      <c r="B148" s="234">
        <v>250000</v>
      </c>
      <c r="C148" s="234">
        <v>200524</v>
      </c>
      <c r="D148" s="234">
        <v>200524</v>
      </c>
      <c r="E148" s="236">
        <f t="shared" si="6"/>
        <v>100</v>
      </c>
      <c r="F148" s="95">
        <v>1132</v>
      </c>
      <c r="G148" s="121" t="s">
        <v>201</v>
      </c>
    </row>
    <row r="149" spans="1:7" x14ac:dyDescent="0.2">
      <c r="A149" s="238" t="s">
        <v>305</v>
      </c>
      <c r="B149" s="234">
        <v>0</v>
      </c>
      <c r="C149" s="234">
        <v>340783.8</v>
      </c>
      <c r="D149" s="234">
        <v>340783.8</v>
      </c>
      <c r="E149" s="236">
        <f t="shared" si="6"/>
        <v>100</v>
      </c>
      <c r="F149" s="95">
        <v>1134</v>
      </c>
      <c r="G149" s="121" t="s">
        <v>201</v>
      </c>
    </row>
    <row r="150" spans="1:7" x14ac:dyDescent="0.2">
      <c r="A150" s="238" t="s">
        <v>550</v>
      </c>
      <c r="B150" s="234">
        <v>750000</v>
      </c>
      <c r="C150" s="234">
        <v>150000</v>
      </c>
      <c r="D150" s="234">
        <v>150000</v>
      </c>
      <c r="E150" s="236">
        <f t="shared" si="6"/>
        <v>100</v>
      </c>
      <c r="F150" s="95">
        <v>1136</v>
      </c>
      <c r="G150" s="121" t="s">
        <v>201</v>
      </c>
    </row>
    <row r="151" spans="1:7" x14ac:dyDescent="0.2">
      <c r="A151" s="238" t="s">
        <v>313</v>
      </c>
      <c r="B151" s="234">
        <v>134000</v>
      </c>
      <c r="C151" s="234">
        <v>134000</v>
      </c>
      <c r="D151" s="234">
        <v>134000</v>
      </c>
      <c r="E151" s="236">
        <f t="shared" si="6"/>
        <v>100</v>
      </c>
      <c r="F151" s="95">
        <v>1138</v>
      </c>
      <c r="G151" s="121" t="s">
        <v>201</v>
      </c>
    </row>
    <row r="152" spans="1:7" x14ac:dyDescent="0.2">
      <c r="A152" s="238" t="s">
        <v>314</v>
      </c>
      <c r="B152" s="234">
        <v>450000</v>
      </c>
      <c r="C152" s="234">
        <v>374030.91</v>
      </c>
      <c r="D152" s="234">
        <v>374030.91</v>
      </c>
      <c r="E152" s="236">
        <f t="shared" si="6"/>
        <v>100</v>
      </c>
      <c r="F152" s="95">
        <v>1140</v>
      </c>
      <c r="G152" s="121" t="s">
        <v>201</v>
      </c>
    </row>
    <row r="153" spans="1:7" x14ac:dyDescent="0.2">
      <c r="A153" s="238" t="s">
        <v>553</v>
      </c>
      <c r="B153" s="234">
        <v>187000</v>
      </c>
      <c r="C153" s="234">
        <v>186606.2</v>
      </c>
      <c r="D153" s="234">
        <v>186606.2</v>
      </c>
      <c r="E153" s="236">
        <f t="shared" si="6"/>
        <v>100</v>
      </c>
      <c r="F153" s="95">
        <v>1150</v>
      </c>
      <c r="G153" s="121" t="s">
        <v>201</v>
      </c>
    </row>
    <row r="154" spans="1:7" x14ac:dyDescent="0.2">
      <c r="A154" s="238" t="s">
        <v>306</v>
      </c>
      <c r="B154" s="234">
        <v>230000</v>
      </c>
      <c r="C154" s="234">
        <v>0</v>
      </c>
      <c r="D154" s="234">
        <v>0</v>
      </c>
      <c r="E154" s="236">
        <v>0</v>
      </c>
      <c r="F154" s="95">
        <v>1151</v>
      </c>
      <c r="G154" s="121" t="s">
        <v>201</v>
      </c>
    </row>
    <row r="155" spans="1:7" ht="25.5" x14ac:dyDescent="0.2">
      <c r="A155" s="238" t="s">
        <v>316</v>
      </c>
      <c r="B155" s="234">
        <v>385000</v>
      </c>
      <c r="C155" s="234">
        <v>250000</v>
      </c>
      <c r="D155" s="234">
        <v>250000</v>
      </c>
      <c r="E155" s="236">
        <f t="shared" si="6"/>
        <v>100</v>
      </c>
      <c r="F155" s="95">
        <v>1152</v>
      </c>
      <c r="G155" s="121" t="s">
        <v>201</v>
      </c>
    </row>
    <row r="156" spans="1:7" x14ac:dyDescent="0.2">
      <c r="A156" s="238" t="s">
        <v>317</v>
      </c>
      <c r="B156" s="234">
        <v>0</v>
      </c>
      <c r="C156" s="234">
        <v>221807.75</v>
      </c>
      <c r="D156" s="234">
        <v>221807.75</v>
      </c>
      <c r="E156" s="236">
        <f t="shared" si="6"/>
        <v>100</v>
      </c>
      <c r="F156" s="95">
        <v>1153</v>
      </c>
      <c r="G156" s="121" t="s">
        <v>201</v>
      </c>
    </row>
    <row r="157" spans="1:7" ht="25.5" x14ac:dyDescent="0.2">
      <c r="A157" s="238" t="s">
        <v>318</v>
      </c>
      <c r="B157" s="234">
        <v>1819000</v>
      </c>
      <c r="C157" s="234">
        <v>1931046.03</v>
      </c>
      <c r="D157" s="234">
        <v>1931046.03</v>
      </c>
      <c r="E157" s="236">
        <f t="shared" si="6"/>
        <v>100</v>
      </c>
      <c r="F157" s="95">
        <v>1160</v>
      </c>
      <c r="G157" s="121" t="s">
        <v>201</v>
      </c>
    </row>
    <row r="158" spans="1:7" x14ac:dyDescent="0.2">
      <c r="A158" s="238" t="s">
        <v>560</v>
      </c>
      <c r="B158" s="234">
        <v>0</v>
      </c>
      <c r="C158" s="234">
        <v>102151.03</v>
      </c>
      <c r="D158" s="234">
        <v>102151.03</v>
      </c>
      <c r="E158" s="236">
        <f t="shared" si="6"/>
        <v>100</v>
      </c>
      <c r="F158" s="95">
        <v>1171</v>
      </c>
      <c r="G158" s="121" t="s">
        <v>201</v>
      </c>
    </row>
    <row r="159" spans="1:7" ht="25.5" x14ac:dyDescent="0.2">
      <c r="A159" s="238" t="s">
        <v>319</v>
      </c>
      <c r="B159" s="234">
        <v>221000</v>
      </c>
      <c r="C159" s="234">
        <v>182548</v>
      </c>
      <c r="D159" s="234">
        <v>182548</v>
      </c>
      <c r="E159" s="236">
        <f t="shared" si="6"/>
        <v>100</v>
      </c>
      <c r="F159" s="95">
        <v>1175</v>
      </c>
      <c r="G159" s="121" t="s">
        <v>201</v>
      </c>
    </row>
    <row r="160" spans="1:7" x14ac:dyDescent="0.2">
      <c r="A160" s="539" t="s">
        <v>561</v>
      </c>
      <c r="B160" s="540">
        <v>660000</v>
      </c>
      <c r="C160" s="540">
        <v>1249229</v>
      </c>
      <c r="D160" s="540">
        <v>1249229</v>
      </c>
      <c r="E160" s="543">
        <f t="shared" si="6"/>
        <v>100</v>
      </c>
      <c r="F160" s="95">
        <v>1200</v>
      </c>
      <c r="G160" s="121" t="s">
        <v>201</v>
      </c>
    </row>
    <row r="161" spans="1:8" x14ac:dyDescent="0.2">
      <c r="A161" s="539" t="s">
        <v>307</v>
      </c>
      <c r="B161" s="540">
        <v>400000</v>
      </c>
      <c r="C161" s="540">
        <v>366243</v>
      </c>
      <c r="D161" s="540">
        <v>366243</v>
      </c>
      <c r="E161" s="543">
        <f t="shared" si="6"/>
        <v>100</v>
      </c>
      <c r="F161" s="95">
        <v>1202</v>
      </c>
      <c r="G161" s="121" t="s">
        <v>201</v>
      </c>
    </row>
    <row r="162" spans="1:8" x14ac:dyDescent="0.2">
      <c r="A162" s="539" t="s">
        <v>320</v>
      </c>
      <c r="B162" s="540">
        <v>500000</v>
      </c>
      <c r="C162" s="540">
        <v>482548</v>
      </c>
      <c r="D162" s="540">
        <v>482548</v>
      </c>
      <c r="E162" s="543">
        <f t="shared" si="6"/>
        <v>100</v>
      </c>
      <c r="F162" s="95">
        <v>1204</v>
      </c>
      <c r="G162" s="121" t="s">
        <v>201</v>
      </c>
    </row>
    <row r="163" spans="1:8" x14ac:dyDescent="0.2">
      <c r="A163" s="238" t="s">
        <v>321</v>
      </c>
      <c r="B163" s="234">
        <v>234000</v>
      </c>
      <c r="C163" s="234">
        <v>224455</v>
      </c>
      <c r="D163" s="234">
        <v>224455</v>
      </c>
      <c r="E163" s="236">
        <f t="shared" si="6"/>
        <v>100</v>
      </c>
      <c r="F163" s="95">
        <v>1206</v>
      </c>
      <c r="G163" s="121" t="s">
        <v>201</v>
      </c>
    </row>
    <row r="164" spans="1:8" x14ac:dyDescent="0.2">
      <c r="A164" s="238" t="s">
        <v>322</v>
      </c>
      <c r="B164" s="234">
        <v>2718000</v>
      </c>
      <c r="C164" s="234">
        <v>2706751.5</v>
      </c>
      <c r="D164" s="234">
        <v>2706751.5</v>
      </c>
      <c r="E164" s="236">
        <f t="shared" si="6"/>
        <v>100</v>
      </c>
      <c r="F164" s="95">
        <v>1208</v>
      </c>
      <c r="G164" s="121" t="s">
        <v>201</v>
      </c>
    </row>
    <row r="165" spans="1:8" x14ac:dyDescent="0.2">
      <c r="A165" s="238" t="s">
        <v>562</v>
      </c>
      <c r="B165" s="234">
        <v>427000</v>
      </c>
      <c r="C165" s="234">
        <v>426888</v>
      </c>
      <c r="D165" s="234">
        <v>426888</v>
      </c>
      <c r="E165" s="236">
        <f t="shared" si="6"/>
        <v>100</v>
      </c>
      <c r="F165" s="95">
        <v>1216</v>
      </c>
      <c r="G165" s="121" t="s">
        <v>201</v>
      </c>
    </row>
    <row r="166" spans="1:8" x14ac:dyDescent="0.2">
      <c r="A166" s="238" t="s">
        <v>563</v>
      </c>
      <c r="B166" s="234">
        <v>810000</v>
      </c>
      <c r="C166" s="234">
        <v>1602180.25</v>
      </c>
      <c r="D166" s="234">
        <v>1602180.25</v>
      </c>
      <c r="E166" s="236">
        <f t="shared" si="6"/>
        <v>100</v>
      </c>
      <c r="F166" s="95">
        <v>1218</v>
      </c>
      <c r="G166" s="121" t="s">
        <v>201</v>
      </c>
    </row>
    <row r="167" spans="1:8" x14ac:dyDescent="0.2">
      <c r="A167" s="238" t="s">
        <v>309</v>
      </c>
      <c r="B167" s="234">
        <v>0</v>
      </c>
      <c r="C167" s="234">
        <v>836383</v>
      </c>
      <c r="D167" s="234">
        <v>836383</v>
      </c>
      <c r="E167" s="236">
        <f t="shared" si="6"/>
        <v>100</v>
      </c>
      <c r="F167" s="95">
        <v>1223</v>
      </c>
      <c r="G167" s="121" t="s">
        <v>201</v>
      </c>
    </row>
    <row r="168" spans="1:8" x14ac:dyDescent="0.2">
      <c r="A168" s="238" t="s">
        <v>323</v>
      </c>
      <c r="B168" s="234">
        <v>1250000</v>
      </c>
      <c r="C168" s="234">
        <v>1241117</v>
      </c>
      <c r="D168" s="234">
        <v>1241117</v>
      </c>
      <c r="E168" s="236">
        <f t="shared" si="6"/>
        <v>100</v>
      </c>
      <c r="F168" s="95">
        <v>1226</v>
      </c>
      <c r="G168" s="121" t="s">
        <v>201</v>
      </c>
    </row>
    <row r="169" spans="1:8" x14ac:dyDescent="0.2">
      <c r="A169" s="539" t="s">
        <v>564</v>
      </c>
      <c r="B169" s="540">
        <v>0</v>
      </c>
      <c r="C169" s="540">
        <v>821383</v>
      </c>
      <c r="D169" s="540">
        <v>821383</v>
      </c>
      <c r="E169" s="543">
        <f t="shared" si="6"/>
        <v>100</v>
      </c>
      <c r="F169" s="95">
        <v>1300</v>
      </c>
      <c r="G169" s="121" t="s">
        <v>201</v>
      </c>
    </row>
    <row r="170" spans="1:8" x14ac:dyDescent="0.2">
      <c r="A170" s="539" t="s">
        <v>565</v>
      </c>
      <c r="B170" s="540">
        <v>0</v>
      </c>
      <c r="C170" s="540">
        <v>250000</v>
      </c>
      <c r="D170" s="540">
        <v>250000</v>
      </c>
      <c r="E170" s="543">
        <f t="shared" si="6"/>
        <v>100</v>
      </c>
      <c r="F170" s="95">
        <v>1308</v>
      </c>
      <c r="G170" s="121" t="s">
        <v>201</v>
      </c>
    </row>
    <row r="171" spans="1:8" x14ac:dyDescent="0.2">
      <c r="A171" s="539" t="s">
        <v>566</v>
      </c>
      <c r="B171" s="540">
        <v>80000</v>
      </c>
      <c r="C171" s="540">
        <v>79860</v>
      </c>
      <c r="D171" s="540">
        <v>79860</v>
      </c>
      <c r="E171" s="543">
        <f t="shared" si="6"/>
        <v>100</v>
      </c>
      <c r="F171" s="95">
        <v>1400</v>
      </c>
      <c r="G171" s="121" t="s">
        <v>201</v>
      </c>
    </row>
    <row r="172" spans="1:8" x14ac:dyDescent="0.2">
      <c r="A172" s="539" t="s">
        <v>557</v>
      </c>
      <c r="B172" s="540">
        <v>0</v>
      </c>
      <c r="C172" s="540">
        <v>1066620.3400000001</v>
      </c>
      <c r="D172" s="540">
        <v>1066620.3400000001</v>
      </c>
      <c r="E172" s="543">
        <f t="shared" si="6"/>
        <v>100</v>
      </c>
      <c r="F172" s="95">
        <v>1403</v>
      </c>
      <c r="G172" s="121" t="s">
        <v>201</v>
      </c>
    </row>
    <row r="173" spans="1:8" x14ac:dyDescent="0.2">
      <c r="A173" s="539" t="s">
        <v>567</v>
      </c>
      <c r="B173" s="540">
        <v>395000</v>
      </c>
      <c r="C173" s="540">
        <v>689207</v>
      </c>
      <c r="D173" s="540">
        <v>689207</v>
      </c>
      <c r="E173" s="543">
        <f t="shared" si="6"/>
        <v>100</v>
      </c>
      <c r="F173" s="95">
        <v>1407</v>
      </c>
      <c r="G173" s="121" t="s">
        <v>201</v>
      </c>
    </row>
    <row r="174" spans="1:8" ht="26.25" thickBot="1" x14ac:dyDescent="0.25">
      <c r="A174" s="239" t="s">
        <v>324</v>
      </c>
      <c r="B174" s="450">
        <v>250000</v>
      </c>
      <c r="C174" s="450">
        <v>250000</v>
      </c>
      <c r="D174" s="450">
        <v>250000</v>
      </c>
      <c r="E174" s="241">
        <f t="shared" si="6"/>
        <v>100</v>
      </c>
      <c r="F174" s="95">
        <v>1450</v>
      </c>
      <c r="G174" s="121" t="s">
        <v>201</v>
      </c>
    </row>
    <row r="175" spans="1:8" s="61" customFormat="1" ht="13.5" thickTop="1" x14ac:dyDescent="0.2">
      <c r="A175" s="159"/>
      <c r="B175" s="114"/>
      <c r="C175" s="114"/>
      <c r="D175" s="114"/>
      <c r="E175" s="53"/>
      <c r="F175" s="84"/>
      <c r="G175" s="121"/>
      <c r="H175" s="60"/>
    </row>
    <row r="176" spans="1:8" ht="15" customHeight="1" thickBot="1" x14ac:dyDescent="0.3">
      <c r="A176" s="39" t="s">
        <v>217</v>
      </c>
      <c r="B176" s="32"/>
      <c r="E176" s="40" t="s">
        <v>18</v>
      </c>
      <c r="F176" s="5"/>
      <c r="G176" s="98"/>
    </row>
    <row r="177" spans="1:12" ht="14.25" thickTop="1" thickBot="1" x14ac:dyDescent="0.25">
      <c r="A177" s="41" t="s">
        <v>5</v>
      </c>
      <c r="B177" s="42" t="s">
        <v>0</v>
      </c>
      <c r="C177" s="43" t="s">
        <v>1</v>
      </c>
      <c r="D177" s="44" t="s">
        <v>4</v>
      </c>
      <c r="E177" s="45" t="s">
        <v>6</v>
      </c>
      <c r="F177" s="5"/>
      <c r="G177" s="98"/>
      <c r="I177" s="127" t="s">
        <v>35</v>
      </c>
      <c r="J177" s="128">
        <f>B178</f>
        <v>4151000</v>
      </c>
      <c r="K177" s="128">
        <f>C178</f>
        <v>9147883</v>
      </c>
      <c r="L177" s="128">
        <f>D178</f>
        <v>7882192</v>
      </c>
    </row>
    <row r="178" spans="1:12" s="81" customFormat="1" ht="15.75" thickTop="1" x14ac:dyDescent="0.2">
      <c r="A178" s="46" t="s">
        <v>7</v>
      </c>
      <c r="B178" s="47">
        <f>SUM(B179:B179)</f>
        <v>4151000</v>
      </c>
      <c r="C178" s="47">
        <f>SUM(C179:C179)</f>
        <v>9147883</v>
      </c>
      <c r="D178" s="47">
        <f>SUM(D179:D179)</f>
        <v>7882192</v>
      </c>
      <c r="E178" s="79">
        <f>D178/C178*100</f>
        <v>86.164110319294636</v>
      </c>
      <c r="F178" s="80" t="s">
        <v>2</v>
      </c>
      <c r="G178" s="149" t="s">
        <v>35</v>
      </c>
      <c r="I178" s="116" t="s">
        <v>32</v>
      </c>
      <c r="J178" s="125">
        <f>SUM(B8:B95)</f>
        <v>230547000</v>
      </c>
      <c r="K178" s="125">
        <f>SUM(C8:C95)</f>
        <v>245997605.98000002</v>
      </c>
      <c r="L178" s="125">
        <f>SUM(D8:D95)</f>
        <v>207329534.09000006</v>
      </c>
    </row>
    <row r="179" spans="1:12" s="81" customFormat="1" ht="26.25" thickBot="1" x14ac:dyDescent="0.25">
      <c r="A179" s="180" t="s">
        <v>431</v>
      </c>
      <c r="B179" s="137">
        <v>4151000</v>
      </c>
      <c r="C179" s="139">
        <v>9147883</v>
      </c>
      <c r="D179" s="137">
        <v>7882192</v>
      </c>
      <c r="E179" s="138">
        <f t="shared" ref="E179" si="7">D179/C179*100</f>
        <v>86.164110319294636</v>
      </c>
      <c r="F179" s="120"/>
      <c r="G179" s="99"/>
      <c r="I179" s="192" t="s">
        <v>34</v>
      </c>
      <c r="J179" s="193">
        <f>SUM(B100:B174)</f>
        <v>39150000</v>
      </c>
      <c r="K179" s="193">
        <f>SUM(C100:C174)</f>
        <v>55691466.659999996</v>
      </c>
      <c r="L179" s="193">
        <f>SUM(D100:D174)</f>
        <v>55691466.659999996</v>
      </c>
    </row>
    <row r="180" spans="1:12" s="81" customFormat="1" ht="15.75" thickTop="1" x14ac:dyDescent="0.25">
      <c r="A180" s="113"/>
      <c r="B180" s="114"/>
      <c r="C180" s="52"/>
      <c r="D180" s="114"/>
      <c r="E180" s="53"/>
      <c r="F180" s="115"/>
      <c r="G180" s="99"/>
      <c r="J180" s="124">
        <f>J179+J178+J177</f>
        <v>273848000</v>
      </c>
      <c r="K180" s="124">
        <f t="shared" ref="K180:L180" si="8">K179+K178+K177</f>
        <v>310836955.63999999</v>
      </c>
      <c r="L180" s="124">
        <f t="shared" si="8"/>
        <v>270903192.75000006</v>
      </c>
    </row>
    <row r="181" spans="1:12" s="81" customFormat="1" x14ac:dyDescent="0.2">
      <c r="A181" s="113"/>
      <c r="B181" s="114"/>
      <c r="C181" s="52"/>
      <c r="D181" s="114"/>
      <c r="E181" s="53"/>
      <c r="F181" s="115"/>
      <c r="G181" s="99"/>
      <c r="H181" s="121"/>
    </row>
    <row r="182" spans="1:12" s="6" customFormat="1" ht="18.75" thickBot="1" x14ac:dyDescent="0.3">
      <c r="A182" s="63" t="s">
        <v>20</v>
      </c>
      <c r="B182" s="492">
        <f>SUM(B99,B7,B178)</f>
        <v>273848000</v>
      </c>
      <c r="C182" s="492">
        <f t="shared" ref="C182:D182" si="9">SUM(C99,C7,C178)</f>
        <v>310836955.63999999</v>
      </c>
      <c r="D182" s="492">
        <f t="shared" si="9"/>
        <v>270903192.75000006</v>
      </c>
      <c r="E182" s="65">
        <f>D182/C182*100</f>
        <v>87.152826533197114</v>
      </c>
      <c r="F182" s="107"/>
      <c r="G182" s="66"/>
      <c r="H182" s="66"/>
      <c r="I182" s="81"/>
    </row>
    <row r="183" spans="1:12" ht="13.5" thickTop="1" x14ac:dyDescent="0.2">
      <c r="A183" s="62"/>
      <c r="B183" s="114"/>
      <c r="C183" s="56"/>
      <c r="D183" s="51"/>
      <c r="E183" s="53"/>
      <c r="F183" s="37"/>
    </row>
    <row r="184" spans="1:12" x14ac:dyDescent="0.2">
      <c r="A184" s="62"/>
      <c r="B184" s="114"/>
      <c r="C184" s="56"/>
      <c r="D184" s="51"/>
      <c r="E184" s="53"/>
      <c r="F184" s="37"/>
    </row>
    <row r="185" spans="1:12" ht="18" x14ac:dyDescent="0.25">
      <c r="A185" s="36" t="s">
        <v>28</v>
      </c>
      <c r="B185" s="32"/>
    </row>
    <row r="186" spans="1:12" ht="15" customHeight="1" thickBot="1" x14ac:dyDescent="0.3">
      <c r="A186" s="39" t="s">
        <v>125</v>
      </c>
      <c r="B186" s="32"/>
      <c r="E186" s="40" t="s">
        <v>18</v>
      </c>
    </row>
    <row r="187" spans="1:12" ht="14.25" thickTop="1" thickBot="1" x14ac:dyDescent="0.25">
      <c r="A187" s="41" t="s">
        <v>5</v>
      </c>
      <c r="B187" s="42" t="s">
        <v>0</v>
      </c>
      <c r="C187" s="43" t="s">
        <v>1</v>
      </c>
      <c r="D187" s="44" t="s">
        <v>4</v>
      </c>
      <c r="E187" s="45" t="s">
        <v>6</v>
      </c>
    </row>
    <row r="188" spans="1:12" ht="15.75" thickTop="1" x14ac:dyDescent="0.25">
      <c r="A188" s="46" t="s">
        <v>9</v>
      </c>
      <c r="B188" s="47">
        <f>SUM(B189:B230)</f>
        <v>148712000</v>
      </c>
      <c r="C188" s="47">
        <f t="shared" ref="C188:D188" si="10">SUM(C189:C230)</f>
        <v>64275775.989999995</v>
      </c>
      <c r="D188" s="47">
        <f t="shared" si="10"/>
        <v>38552886.550000004</v>
      </c>
      <c r="E188" s="48">
        <f>D188/C188*100</f>
        <v>59.980429572718108</v>
      </c>
      <c r="F188" s="85"/>
    </row>
    <row r="189" spans="1:12" s="35" customFormat="1" ht="12.75" customHeight="1" x14ac:dyDescent="0.2">
      <c r="A189" s="243" t="s">
        <v>93</v>
      </c>
      <c r="B189" s="242">
        <v>0</v>
      </c>
      <c r="C189" s="235">
        <v>9680</v>
      </c>
      <c r="D189" s="237">
        <v>9680</v>
      </c>
      <c r="E189" s="236">
        <f t="shared" ref="E189:E230" si="11">D189/C189*100</f>
        <v>100</v>
      </c>
      <c r="F189" s="117" t="s">
        <v>45</v>
      </c>
      <c r="G189" s="116" t="s">
        <v>32</v>
      </c>
      <c r="H189" s="30"/>
    </row>
    <row r="190" spans="1:12" s="35" customFormat="1" x14ac:dyDescent="0.2">
      <c r="A190" s="243" t="s">
        <v>94</v>
      </c>
      <c r="B190" s="242">
        <v>45000000</v>
      </c>
      <c r="C190" s="235">
        <v>13021101.470000001</v>
      </c>
      <c r="D190" s="237">
        <v>4007718.12</v>
      </c>
      <c r="E190" s="236">
        <f t="shared" si="11"/>
        <v>30.778641340239858</v>
      </c>
      <c r="F190" s="117" t="s">
        <v>77</v>
      </c>
      <c r="G190" s="116" t="s">
        <v>32</v>
      </c>
      <c r="H190" s="30"/>
    </row>
    <row r="191" spans="1:12" s="35" customFormat="1" ht="25.5" x14ac:dyDescent="0.2">
      <c r="A191" s="243" t="s">
        <v>488</v>
      </c>
      <c r="B191" s="242">
        <v>11065000</v>
      </c>
      <c r="C191" s="235">
        <v>127550</v>
      </c>
      <c r="D191" s="237">
        <v>120290</v>
      </c>
      <c r="E191" s="236">
        <f t="shared" si="11"/>
        <v>94.308114464915718</v>
      </c>
      <c r="F191" s="117" t="s">
        <v>414</v>
      </c>
      <c r="G191" s="116" t="s">
        <v>32</v>
      </c>
      <c r="H191" s="30"/>
    </row>
    <row r="192" spans="1:12" s="35" customFormat="1" x14ac:dyDescent="0.2">
      <c r="A192" s="243" t="s">
        <v>136</v>
      </c>
      <c r="B192" s="242">
        <v>16000000</v>
      </c>
      <c r="C192" s="235">
        <v>1604218</v>
      </c>
      <c r="D192" s="237">
        <v>1604218</v>
      </c>
      <c r="E192" s="236">
        <f t="shared" si="11"/>
        <v>100</v>
      </c>
      <c r="F192" s="117" t="s">
        <v>116</v>
      </c>
      <c r="G192" s="116" t="s">
        <v>32</v>
      </c>
      <c r="H192" s="31"/>
    </row>
    <row r="193" spans="1:9" s="35" customFormat="1" x14ac:dyDescent="0.2">
      <c r="A193" s="243" t="s">
        <v>137</v>
      </c>
      <c r="B193" s="242">
        <v>0</v>
      </c>
      <c r="C193" s="235">
        <v>2205000</v>
      </c>
      <c r="D193" s="237">
        <v>2105153.2599999998</v>
      </c>
      <c r="E193" s="236">
        <f t="shared" si="11"/>
        <v>95.471803174603167</v>
      </c>
      <c r="F193" s="117" t="s">
        <v>117</v>
      </c>
      <c r="G193" s="116" t="s">
        <v>32</v>
      </c>
      <c r="H193" s="31"/>
    </row>
    <row r="194" spans="1:9" s="35" customFormat="1" x14ac:dyDescent="0.2">
      <c r="A194" s="243" t="s">
        <v>138</v>
      </c>
      <c r="B194" s="242">
        <v>200000</v>
      </c>
      <c r="C194" s="235">
        <v>0</v>
      </c>
      <c r="D194" s="237">
        <v>0</v>
      </c>
      <c r="E194" s="236">
        <v>0</v>
      </c>
      <c r="F194" s="117" t="s">
        <v>118</v>
      </c>
      <c r="G194" s="116" t="s">
        <v>32</v>
      </c>
      <c r="H194" s="31"/>
    </row>
    <row r="195" spans="1:9" s="35" customFormat="1" x14ac:dyDescent="0.2">
      <c r="A195" s="243" t="s">
        <v>139</v>
      </c>
      <c r="B195" s="242">
        <v>0</v>
      </c>
      <c r="C195" s="235">
        <v>1000</v>
      </c>
      <c r="D195" s="237">
        <v>1000</v>
      </c>
      <c r="E195" s="236">
        <f t="shared" si="11"/>
        <v>100</v>
      </c>
      <c r="F195" s="117" t="s">
        <v>119</v>
      </c>
      <c r="G195" s="116" t="s">
        <v>32</v>
      </c>
      <c r="H195" s="31"/>
    </row>
    <row r="196" spans="1:9" s="35" customFormat="1" ht="25.5" x14ac:dyDescent="0.2">
      <c r="A196" s="243" t="s">
        <v>140</v>
      </c>
      <c r="B196" s="242">
        <v>0</v>
      </c>
      <c r="C196" s="235">
        <v>178176.69</v>
      </c>
      <c r="D196" s="237">
        <v>178176.69</v>
      </c>
      <c r="E196" s="236">
        <f t="shared" si="11"/>
        <v>100</v>
      </c>
      <c r="F196" s="118" t="s">
        <v>120</v>
      </c>
      <c r="G196" s="144" t="s">
        <v>32</v>
      </c>
      <c r="H196" s="31"/>
    </row>
    <row r="197" spans="1:9" s="35" customFormat="1" x14ac:dyDescent="0.2">
      <c r="A197" s="243" t="s">
        <v>141</v>
      </c>
      <c r="B197" s="242">
        <v>500000</v>
      </c>
      <c r="C197" s="235">
        <v>1021153</v>
      </c>
      <c r="D197" s="237">
        <v>235950</v>
      </c>
      <c r="E197" s="236">
        <f t="shared" si="11"/>
        <v>23.10623383567399</v>
      </c>
      <c r="F197" s="117" t="s">
        <v>121</v>
      </c>
      <c r="G197" s="116" t="s">
        <v>32</v>
      </c>
      <c r="H197" s="31"/>
    </row>
    <row r="198" spans="1:9" s="35" customFormat="1" x14ac:dyDescent="0.2">
      <c r="A198" s="243" t="s">
        <v>142</v>
      </c>
      <c r="B198" s="242">
        <v>84000</v>
      </c>
      <c r="C198" s="235">
        <v>342671.25</v>
      </c>
      <c r="D198" s="237">
        <v>339220.74</v>
      </c>
      <c r="E198" s="236">
        <f t="shared" si="11"/>
        <v>98.993055297168937</v>
      </c>
      <c r="F198" s="117" t="s">
        <v>122</v>
      </c>
      <c r="G198" s="116" t="s">
        <v>32</v>
      </c>
      <c r="H198" s="31"/>
    </row>
    <row r="199" spans="1:9" s="35" customFormat="1" x14ac:dyDescent="0.2">
      <c r="A199" s="243" t="s">
        <v>143</v>
      </c>
      <c r="B199" s="242">
        <v>300000</v>
      </c>
      <c r="C199" s="235">
        <v>0</v>
      </c>
      <c r="D199" s="237">
        <v>0</v>
      </c>
      <c r="E199" s="236">
        <v>0</v>
      </c>
      <c r="F199" s="117" t="s">
        <v>123</v>
      </c>
      <c r="G199" s="116" t="s">
        <v>32</v>
      </c>
      <c r="H199" s="31"/>
    </row>
    <row r="200" spans="1:9" s="35" customFormat="1" x14ac:dyDescent="0.2">
      <c r="A200" s="243" t="s">
        <v>144</v>
      </c>
      <c r="B200" s="242">
        <v>1500000</v>
      </c>
      <c r="C200" s="235">
        <v>2668518.65</v>
      </c>
      <c r="D200" s="237">
        <v>2668518.65</v>
      </c>
      <c r="E200" s="236">
        <f t="shared" si="11"/>
        <v>100</v>
      </c>
      <c r="F200" s="117" t="s">
        <v>124</v>
      </c>
      <c r="G200" s="116" t="s">
        <v>32</v>
      </c>
      <c r="H200" s="31"/>
    </row>
    <row r="201" spans="1:9" s="35" customFormat="1" ht="25.5" customHeight="1" x14ac:dyDescent="0.2">
      <c r="A201" s="601" t="s">
        <v>273</v>
      </c>
      <c r="B201" s="234">
        <v>3100000</v>
      </c>
      <c r="C201" s="237">
        <v>3036221.18</v>
      </c>
      <c r="D201" s="237">
        <v>3036221.18</v>
      </c>
      <c r="E201" s="236">
        <f t="shared" si="11"/>
        <v>100</v>
      </c>
      <c r="F201" s="118" t="s">
        <v>234</v>
      </c>
      <c r="G201" s="144" t="s">
        <v>32</v>
      </c>
      <c r="H201" s="31"/>
    </row>
    <row r="202" spans="1:9" s="35" customFormat="1" x14ac:dyDescent="0.2">
      <c r="A202" s="601" t="s">
        <v>274</v>
      </c>
      <c r="B202" s="234">
        <v>0</v>
      </c>
      <c r="C202" s="237">
        <v>267964.48</v>
      </c>
      <c r="D202" s="237">
        <v>267964.48</v>
      </c>
      <c r="E202" s="236">
        <f t="shared" si="11"/>
        <v>100</v>
      </c>
      <c r="F202" s="118" t="s">
        <v>235</v>
      </c>
      <c r="G202" s="144" t="s">
        <v>32</v>
      </c>
      <c r="H202" s="31"/>
      <c r="I202" s="579"/>
    </row>
    <row r="203" spans="1:9" s="35" customFormat="1" ht="25.5" customHeight="1" x14ac:dyDescent="0.2">
      <c r="A203" s="601" t="s">
        <v>275</v>
      </c>
      <c r="B203" s="234">
        <v>3558000</v>
      </c>
      <c r="C203" s="237">
        <v>1163608.27</v>
      </c>
      <c r="D203" s="237">
        <v>1163608</v>
      </c>
      <c r="E203" s="236">
        <f t="shared" si="11"/>
        <v>99.999976796314797</v>
      </c>
      <c r="F203" s="118" t="s">
        <v>236</v>
      </c>
      <c r="G203" s="144" t="s">
        <v>32</v>
      </c>
      <c r="H203" s="31"/>
    </row>
    <row r="204" spans="1:9" s="35" customFormat="1" x14ac:dyDescent="0.2">
      <c r="A204" s="243" t="s">
        <v>276</v>
      </c>
      <c r="B204" s="234">
        <v>322000</v>
      </c>
      <c r="C204" s="237">
        <v>322000</v>
      </c>
      <c r="D204" s="237">
        <v>208251.84</v>
      </c>
      <c r="E204" s="236">
        <f t="shared" si="11"/>
        <v>64.674484472049684</v>
      </c>
      <c r="F204" s="118" t="s">
        <v>237</v>
      </c>
      <c r="G204" s="144" t="s">
        <v>32</v>
      </c>
      <c r="H204" s="31"/>
    </row>
    <row r="205" spans="1:9" s="35" customFormat="1" ht="25.5" customHeight="1" x14ac:dyDescent="0.2">
      <c r="A205" s="601" t="s">
        <v>277</v>
      </c>
      <c r="B205" s="234">
        <v>1300000</v>
      </c>
      <c r="C205" s="237">
        <v>1300000</v>
      </c>
      <c r="D205" s="237">
        <v>1275160</v>
      </c>
      <c r="E205" s="236">
        <f t="shared" si="11"/>
        <v>98.089230769230767</v>
      </c>
      <c r="F205" s="118" t="s">
        <v>238</v>
      </c>
      <c r="G205" s="144" t="s">
        <v>32</v>
      </c>
      <c r="H205" s="31"/>
    </row>
    <row r="206" spans="1:9" s="35" customFormat="1" ht="25.5" x14ac:dyDescent="0.2">
      <c r="A206" s="243" t="s">
        <v>278</v>
      </c>
      <c r="B206" s="234">
        <v>4052000</v>
      </c>
      <c r="C206" s="237">
        <v>2052000</v>
      </c>
      <c r="D206" s="237">
        <v>56628</v>
      </c>
      <c r="E206" s="236">
        <f t="shared" si="11"/>
        <v>2.7596491228070175</v>
      </c>
      <c r="F206" s="118" t="s">
        <v>239</v>
      </c>
      <c r="G206" s="144" t="s">
        <v>32</v>
      </c>
      <c r="H206" s="31"/>
    </row>
    <row r="207" spans="1:9" s="35" customFormat="1" ht="25.5" x14ac:dyDescent="0.2">
      <c r="A207" s="238" t="s">
        <v>279</v>
      </c>
      <c r="B207" s="234">
        <v>0</v>
      </c>
      <c r="C207" s="237">
        <v>3000</v>
      </c>
      <c r="D207" s="237">
        <v>3000</v>
      </c>
      <c r="E207" s="236">
        <f t="shared" si="11"/>
        <v>100</v>
      </c>
      <c r="F207" s="118" t="s">
        <v>240</v>
      </c>
      <c r="G207" s="144" t="s">
        <v>32</v>
      </c>
      <c r="H207" s="31"/>
    </row>
    <row r="208" spans="1:9" s="35" customFormat="1" x14ac:dyDescent="0.2">
      <c r="A208" s="243" t="s">
        <v>280</v>
      </c>
      <c r="B208" s="234">
        <v>250000</v>
      </c>
      <c r="C208" s="237">
        <v>43530</v>
      </c>
      <c r="D208" s="237">
        <v>0</v>
      </c>
      <c r="E208" s="236">
        <f t="shared" si="11"/>
        <v>0</v>
      </c>
      <c r="F208" s="118" t="s">
        <v>241</v>
      </c>
      <c r="G208" s="144" t="s">
        <v>32</v>
      </c>
      <c r="H208" s="31"/>
    </row>
    <row r="209" spans="1:8" s="35" customFormat="1" ht="25.5" x14ac:dyDescent="0.2">
      <c r="A209" s="243" t="s">
        <v>281</v>
      </c>
      <c r="B209" s="234">
        <v>600000</v>
      </c>
      <c r="C209" s="237">
        <v>600000</v>
      </c>
      <c r="D209" s="237">
        <v>566440</v>
      </c>
      <c r="E209" s="236">
        <f t="shared" si="11"/>
        <v>94.406666666666666</v>
      </c>
      <c r="F209" s="118" t="s">
        <v>242</v>
      </c>
      <c r="G209" s="144" t="s">
        <v>32</v>
      </c>
      <c r="H209" s="31"/>
    </row>
    <row r="210" spans="1:8" s="35" customFormat="1" ht="25.5" x14ac:dyDescent="0.2">
      <c r="A210" s="243" t="s">
        <v>282</v>
      </c>
      <c r="B210" s="234">
        <v>30000</v>
      </c>
      <c r="C210" s="237">
        <v>82055</v>
      </c>
      <c r="D210" s="237">
        <v>80020</v>
      </c>
      <c r="E210" s="236">
        <f t="shared" si="11"/>
        <v>97.519956126987992</v>
      </c>
      <c r="F210" s="118" t="s">
        <v>243</v>
      </c>
      <c r="G210" s="144" t="s">
        <v>32</v>
      </c>
      <c r="H210" s="31"/>
    </row>
    <row r="211" spans="1:8" s="35" customFormat="1" ht="25.5" x14ac:dyDescent="0.2">
      <c r="A211" s="243" t="s">
        <v>283</v>
      </c>
      <c r="B211" s="234">
        <v>18275000</v>
      </c>
      <c r="C211" s="237">
        <v>14144500</v>
      </c>
      <c r="D211" s="237">
        <v>13943404.98</v>
      </c>
      <c r="E211" s="236">
        <f t="shared" si="11"/>
        <v>98.578281169359116</v>
      </c>
      <c r="F211" s="118" t="s">
        <v>244</v>
      </c>
      <c r="G211" s="144" t="s">
        <v>32</v>
      </c>
      <c r="H211" s="31"/>
    </row>
    <row r="212" spans="1:8" s="35" customFormat="1" ht="25.5" x14ac:dyDescent="0.2">
      <c r="A212" s="243" t="s">
        <v>284</v>
      </c>
      <c r="B212" s="234">
        <v>7130000</v>
      </c>
      <c r="C212" s="237">
        <v>2962842</v>
      </c>
      <c r="D212" s="237">
        <v>2241917.63</v>
      </c>
      <c r="E212" s="236">
        <f t="shared" si="11"/>
        <v>75.66780915080858</v>
      </c>
      <c r="F212" s="118" t="s">
        <v>245</v>
      </c>
      <c r="G212" s="144" t="s">
        <v>32</v>
      </c>
      <c r="H212" s="31"/>
    </row>
    <row r="213" spans="1:8" s="35" customFormat="1" ht="25.5" x14ac:dyDescent="0.2">
      <c r="A213" s="243" t="s">
        <v>285</v>
      </c>
      <c r="B213" s="234">
        <v>500000</v>
      </c>
      <c r="C213" s="237">
        <v>0</v>
      </c>
      <c r="D213" s="237">
        <v>0</v>
      </c>
      <c r="E213" s="236">
        <v>0</v>
      </c>
      <c r="F213" s="118" t="s">
        <v>246</v>
      </c>
      <c r="G213" s="144" t="s">
        <v>32</v>
      </c>
      <c r="H213" s="31"/>
    </row>
    <row r="214" spans="1:8" s="35" customFormat="1" ht="25.5" x14ac:dyDescent="0.2">
      <c r="A214" s="243" t="s">
        <v>573</v>
      </c>
      <c r="B214" s="234">
        <v>11511000</v>
      </c>
      <c r="C214" s="237">
        <v>8445450</v>
      </c>
      <c r="D214" s="237">
        <v>523765.2</v>
      </c>
      <c r="E214" s="236">
        <f t="shared" si="11"/>
        <v>6.2017441344155735</v>
      </c>
      <c r="F214" s="118" t="s">
        <v>415</v>
      </c>
      <c r="G214" s="144" t="s">
        <v>32</v>
      </c>
      <c r="H214" s="31"/>
    </row>
    <row r="215" spans="1:8" s="35" customFormat="1" ht="25.5" x14ac:dyDescent="0.2">
      <c r="A215" s="243" t="s">
        <v>286</v>
      </c>
      <c r="B215" s="234">
        <v>1400000</v>
      </c>
      <c r="C215" s="237">
        <v>242395</v>
      </c>
      <c r="D215" s="237">
        <v>241395</v>
      </c>
      <c r="E215" s="236">
        <f t="shared" si="11"/>
        <v>99.587450236184736</v>
      </c>
      <c r="F215" s="118" t="s">
        <v>247</v>
      </c>
      <c r="G215" s="144" t="s">
        <v>32</v>
      </c>
      <c r="H215" s="31"/>
    </row>
    <row r="216" spans="1:8" s="35" customFormat="1" ht="25.5" x14ac:dyDescent="0.2">
      <c r="A216" s="243" t="s">
        <v>287</v>
      </c>
      <c r="B216" s="234">
        <v>2000000</v>
      </c>
      <c r="C216" s="237">
        <v>231505</v>
      </c>
      <c r="D216" s="237">
        <v>230505</v>
      </c>
      <c r="E216" s="236">
        <f t="shared" si="11"/>
        <v>99.568043886741108</v>
      </c>
      <c r="F216" s="118" t="s">
        <v>248</v>
      </c>
      <c r="G216" s="144" t="s">
        <v>32</v>
      </c>
      <c r="H216" s="31"/>
    </row>
    <row r="217" spans="1:8" s="35" customFormat="1" ht="25.5" x14ac:dyDescent="0.2">
      <c r="A217" s="238" t="s">
        <v>572</v>
      </c>
      <c r="B217" s="234">
        <v>8000000</v>
      </c>
      <c r="C217" s="237">
        <v>3370000</v>
      </c>
      <c r="D217" s="237">
        <v>417566.22</v>
      </c>
      <c r="E217" s="236">
        <f t="shared" si="11"/>
        <v>12.390689020771513</v>
      </c>
      <c r="F217" s="118" t="s">
        <v>571</v>
      </c>
      <c r="G217" s="144" t="s">
        <v>32</v>
      </c>
      <c r="H217" s="31"/>
    </row>
    <row r="218" spans="1:8" s="35" customFormat="1" x14ac:dyDescent="0.2">
      <c r="A218" s="243" t="s">
        <v>489</v>
      </c>
      <c r="B218" s="234">
        <v>1450000</v>
      </c>
      <c r="C218" s="237">
        <v>74710</v>
      </c>
      <c r="D218" s="237">
        <v>66710</v>
      </c>
      <c r="E218" s="236">
        <f t="shared" si="11"/>
        <v>89.291928791326455</v>
      </c>
      <c r="F218" s="118" t="s">
        <v>416</v>
      </c>
      <c r="G218" s="144" t="s">
        <v>32</v>
      </c>
      <c r="H218" s="31"/>
    </row>
    <row r="219" spans="1:8" s="35" customFormat="1" x14ac:dyDescent="0.2">
      <c r="A219" s="243" t="s">
        <v>490</v>
      </c>
      <c r="B219" s="234">
        <v>1600000</v>
      </c>
      <c r="C219" s="237">
        <v>0</v>
      </c>
      <c r="D219" s="237">
        <v>0</v>
      </c>
      <c r="E219" s="236">
        <v>0</v>
      </c>
      <c r="F219" s="118" t="s">
        <v>417</v>
      </c>
      <c r="G219" s="144" t="s">
        <v>32</v>
      </c>
      <c r="H219" s="31"/>
    </row>
    <row r="220" spans="1:8" s="35" customFormat="1" x14ac:dyDescent="0.2">
      <c r="A220" s="243" t="s">
        <v>491</v>
      </c>
      <c r="B220" s="234">
        <v>3000000</v>
      </c>
      <c r="C220" s="237">
        <v>902192</v>
      </c>
      <c r="D220" s="237">
        <v>179375.2</v>
      </c>
      <c r="E220" s="236">
        <f t="shared" si="11"/>
        <v>19.88215368790679</v>
      </c>
      <c r="F220" s="118" t="s">
        <v>418</v>
      </c>
      <c r="G220" s="144" t="s">
        <v>32</v>
      </c>
      <c r="H220" s="31"/>
    </row>
    <row r="221" spans="1:8" s="35" customFormat="1" ht="25.5" x14ac:dyDescent="0.2">
      <c r="A221" s="243" t="s">
        <v>492</v>
      </c>
      <c r="B221" s="234">
        <v>1500000</v>
      </c>
      <c r="C221" s="237">
        <v>1355600</v>
      </c>
      <c r="D221" s="237">
        <v>857211</v>
      </c>
      <c r="E221" s="236">
        <f t="shared" si="11"/>
        <v>63.234803776925339</v>
      </c>
      <c r="F221" s="118" t="s">
        <v>419</v>
      </c>
      <c r="G221" s="144" t="s">
        <v>32</v>
      </c>
      <c r="H221" s="31"/>
    </row>
    <row r="222" spans="1:8" s="35" customFormat="1" x14ac:dyDescent="0.2">
      <c r="A222" s="243" t="s">
        <v>493</v>
      </c>
      <c r="B222" s="234">
        <v>330000</v>
      </c>
      <c r="C222" s="237">
        <v>442000</v>
      </c>
      <c r="D222" s="237">
        <v>263780</v>
      </c>
      <c r="E222" s="236">
        <f t="shared" si="11"/>
        <v>59.678733031674206</v>
      </c>
      <c r="F222" s="118" t="s">
        <v>420</v>
      </c>
      <c r="G222" s="144" t="s">
        <v>32</v>
      </c>
      <c r="H222" s="31"/>
    </row>
    <row r="223" spans="1:8" s="35" customFormat="1" x14ac:dyDescent="0.2">
      <c r="A223" s="243" t="s">
        <v>494</v>
      </c>
      <c r="B223" s="234">
        <v>1100000</v>
      </c>
      <c r="C223" s="237">
        <v>0</v>
      </c>
      <c r="D223" s="237">
        <v>0</v>
      </c>
      <c r="E223" s="236">
        <v>0</v>
      </c>
      <c r="F223" s="118" t="s">
        <v>421</v>
      </c>
      <c r="G223" s="144" t="s">
        <v>32</v>
      </c>
      <c r="H223" s="31"/>
    </row>
    <row r="224" spans="1:8" s="35" customFormat="1" x14ac:dyDescent="0.2">
      <c r="A224" s="243" t="s">
        <v>495</v>
      </c>
      <c r="B224" s="234">
        <v>200000</v>
      </c>
      <c r="C224" s="237">
        <v>200000</v>
      </c>
      <c r="D224" s="237">
        <v>148990</v>
      </c>
      <c r="E224" s="236">
        <f t="shared" si="11"/>
        <v>74.495000000000005</v>
      </c>
      <c r="F224" s="118" t="s">
        <v>422</v>
      </c>
      <c r="G224" s="144" t="s">
        <v>32</v>
      </c>
      <c r="H224" s="31"/>
    </row>
    <row r="225" spans="1:8" s="35" customFormat="1" ht="25.5" x14ac:dyDescent="0.2">
      <c r="A225" s="243" t="s">
        <v>496</v>
      </c>
      <c r="B225" s="234">
        <v>500000</v>
      </c>
      <c r="C225" s="237">
        <v>300000</v>
      </c>
      <c r="D225" s="237">
        <v>91113</v>
      </c>
      <c r="E225" s="236">
        <f t="shared" si="11"/>
        <v>30.370999999999999</v>
      </c>
      <c r="F225" s="118" t="s">
        <v>423</v>
      </c>
      <c r="G225" s="144" t="s">
        <v>32</v>
      </c>
      <c r="H225" s="31"/>
    </row>
    <row r="226" spans="1:8" s="35" customFormat="1" ht="25.5" x14ac:dyDescent="0.2">
      <c r="A226" s="243" t="s">
        <v>497</v>
      </c>
      <c r="B226" s="234">
        <v>200000</v>
      </c>
      <c r="C226" s="237">
        <v>200000</v>
      </c>
      <c r="D226" s="237">
        <v>99622</v>
      </c>
      <c r="E226" s="236">
        <f t="shared" si="11"/>
        <v>49.811</v>
      </c>
      <c r="F226" s="118" t="s">
        <v>424</v>
      </c>
      <c r="G226" s="144" t="s">
        <v>32</v>
      </c>
      <c r="H226" s="31"/>
    </row>
    <row r="227" spans="1:8" s="35" customFormat="1" x14ac:dyDescent="0.2">
      <c r="A227" s="243" t="s">
        <v>498</v>
      </c>
      <c r="B227" s="234">
        <v>800000</v>
      </c>
      <c r="C227" s="237">
        <v>0</v>
      </c>
      <c r="D227" s="237">
        <v>0</v>
      </c>
      <c r="E227" s="236">
        <v>0</v>
      </c>
      <c r="F227" s="118" t="s">
        <v>425</v>
      </c>
      <c r="G227" s="144" t="s">
        <v>32</v>
      </c>
      <c r="H227" s="31"/>
    </row>
    <row r="228" spans="1:8" s="35" customFormat="1" x14ac:dyDescent="0.2">
      <c r="A228" s="243" t="s">
        <v>499</v>
      </c>
      <c r="B228" s="234">
        <v>555000</v>
      </c>
      <c r="C228" s="237">
        <v>719158</v>
      </c>
      <c r="D228" s="237">
        <v>684336.36</v>
      </c>
      <c r="E228" s="236">
        <f t="shared" si="11"/>
        <v>95.157998659543523</v>
      </c>
      <c r="F228" s="118" t="s">
        <v>426</v>
      </c>
      <c r="G228" s="144" t="s">
        <v>32</v>
      </c>
      <c r="H228" s="31"/>
    </row>
    <row r="229" spans="1:8" s="35" customFormat="1" x14ac:dyDescent="0.2">
      <c r="A229" s="243" t="s">
        <v>500</v>
      </c>
      <c r="B229" s="234">
        <v>800000</v>
      </c>
      <c r="C229" s="237">
        <v>298870</v>
      </c>
      <c r="D229" s="237">
        <v>298870</v>
      </c>
      <c r="E229" s="236">
        <f t="shared" si="11"/>
        <v>100</v>
      </c>
      <c r="F229" s="118" t="s">
        <v>427</v>
      </c>
      <c r="G229" s="144" t="s">
        <v>32</v>
      </c>
      <c r="H229" s="31"/>
    </row>
    <row r="230" spans="1:8" s="35" customFormat="1" ht="26.25" thickBot="1" x14ac:dyDescent="0.25">
      <c r="A230" s="244" t="s">
        <v>501</v>
      </c>
      <c r="B230" s="450">
        <v>0</v>
      </c>
      <c r="C230" s="240">
        <v>337106</v>
      </c>
      <c r="D230" s="240">
        <v>337106</v>
      </c>
      <c r="E230" s="241">
        <f t="shared" si="11"/>
        <v>100</v>
      </c>
      <c r="F230" s="118" t="s">
        <v>428</v>
      </c>
      <c r="G230" s="144" t="s">
        <v>32</v>
      </c>
      <c r="H230" s="31"/>
    </row>
    <row r="231" spans="1:8" s="55" customFormat="1" ht="15.75" thickTop="1" x14ac:dyDescent="0.25">
      <c r="A231" s="39"/>
      <c r="B231" s="32"/>
      <c r="C231" s="5"/>
      <c r="D231" s="3"/>
      <c r="E231" s="40"/>
      <c r="F231" s="90"/>
      <c r="G231" s="54"/>
      <c r="H231" s="54"/>
    </row>
    <row r="232" spans="1:8" s="55" customFormat="1" ht="15.75" thickBot="1" x14ac:dyDescent="0.25">
      <c r="A232" s="58" t="s">
        <v>29</v>
      </c>
      <c r="B232" s="32"/>
      <c r="C232" s="5"/>
      <c r="D232" s="5"/>
      <c r="E232" s="40" t="s">
        <v>18</v>
      </c>
      <c r="F232" s="90"/>
      <c r="G232" s="54"/>
      <c r="H232" s="54"/>
    </row>
    <row r="233" spans="1:8" s="55" customFormat="1" ht="14.25" thickTop="1" thickBot="1" x14ac:dyDescent="0.25">
      <c r="A233" s="41" t="s">
        <v>5</v>
      </c>
      <c r="B233" s="42" t="s">
        <v>0</v>
      </c>
      <c r="C233" s="43" t="s">
        <v>1</v>
      </c>
      <c r="D233" s="44" t="s">
        <v>4</v>
      </c>
      <c r="E233" s="45" t="s">
        <v>6</v>
      </c>
      <c r="F233" s="90"/>
      <c r="G233" s="54"/>
      <c r="H233" s="54"/>
    </row>
    <row r="234" spans="1:8" s="55" customFormat="1" ht="15.75" thickTop="1" x14ac:dyDescent="0.2">
      <c r="A234" s="157" t="s">
        <v>9</v>
      </c>
      <c r="B234" s="112">
        <f>SUM(B235:B276)</f>
        <v>26333000</v>
      </c>
      <c r="C234" s="112">
        <f t="shared" ref="C234:D234" si="12">SUM(C235:C276)</f>
        <v>33014417.16</v>
      </c>
      <c r="D234" s="112">
        <f t="shared" si="12"/>
        <v>33014417.16</v>
      </c>
      <c r="E234" s="158">
        <f>D234/C234*100</f>
        <v>100</v>
      </c>
      <c r="G234" s="121"/>
      <c r="H234" s="54"/>
    </row>
    <row r="235" spans="1:8" s="55" customFormat="1" x14ac:dyDescent="0.2">
      <c r="A235" s="243" t="s">
        <v>326</v>
      </c>
      <c r="B235" s="454">
        <v>0</v>
      </c>
      <c r="C235" s="451">
        <v>198268</v>
      </c>
      <c r="D235" s="451">
        <v>198268</v>
      </c>
      <c r="E235" s="236">
        <f t="shared" ref="E235:E276" si="13">D235/C235*100</f>
        <v>100</v>
      </c>
      <c r="F235" s="119" t="s">
        <v>72</v>
      </c>
      <c r="G235" s="121" t="s">
        <v>200</v>
      </c>
      <c r="H235" s="54"/>
    </row>
    <row r="236" spans="1:8" s="55" customFormat="1" x14ac:dyDescent="0.2">
      <c r="A236" s="243" t="s">
        <v>568</v>
      </c>
      <c r="B236" s="454">
        <v>200000</v>
      </c>
      <c r="C236" s="451">
        <v>198168</v>
      </c>
      <c r="D236" s="451">
        <v>198168</v>
      </c>
      <c r="E236" s="236">
        <f t="shared" si="13"/>
        <v>100</v>
      </c>
      <c r="F236" s="119" t="s">
        <v>429</v>
      </c>
      <c r="G236" s="121" t="s">
        <v>200</v>
      </c>
      <c r="H236" s="54"/>
    </row>
    <row r="237" spans="1:8" s="55" customFormat="1" x14ac:dyDescent="0.2">
      <c r="A237" s="243" t="s">
        <v>340</v>
      </c>
      <c r="B237" s="454">
        <v>1891000</v>
      </c>
      <c r="C237" s="451">
        <v>1818670</v>
      </c>
      <c r="D237" s="451">
        <v>1818670</v>
      </c>
      <c r="E237" s="236">
        <f t="shared" si="13"/>
        <v>100</v>
      </c>
      <c r="F237" s="119" t="s">
        <v>73</v>
      </c>
      <c r="G237" s="121" t="s">
        <v>200</v>
      </c>
      <c r="H237" s="54"/>
    </row>
    <row r="238" spans="1:8" s="55" customFormat="1" x14ac:dyDescent="0.2">
      <c r="A238" s="233" t="s">
        <v>327</v>
      </c>
      <c r="B238" s="454">
        <v>905000</v>
      </c>
      <c r="C238" s="451">
        <v>1078910.77</v>
      </c>
      <c r="D238" s="451">
        <v>1078910.77</v>
      </c>
      <c r="E238" s="236">
        <f t="shared" si="13"/>
        <v>100</v>
      </c>
      <c r="F238" s="119" t="s">
        <v>106</v>
      </c>
      <c r="G238" s="121" t="s">
        <v>200</v>
      </c>
      <c r="H238" s="54"/>
    </row>
    <row r="239" spans="1:8" s="55" customFormat="1" x14ac:dyDescent="0.2">
      <c r="A239" s="233" t="s">
        <v>328</v>
      </c>
      <c r="B239" s="454">
        <v>127000</v>
      </c>
      <c r="C239" s="451">
        <v>89659</v>
      </c>
      <c r="D239" s="451">
        <v>89659</v>
      </c>
      <c r="E239" s="236">
        <f t="shared" si="13"/>
        <v>100</v>
      </c>
      <c r="F239" s="119" t="s">
        <v>107</v>
      </c>
      <c r="G239" s="121" t="s">
        <v>200</v>
      </c>
      <c r="H239" s="54"/>
    </row>
    <row r="240" spans="1:8" s="55" customFormat="1" x14ac:dyDescent="0.2">
      <c r="A240" s="233" t="s">
        <v>329</v>
      </c>
      <c r="B240" s="454">
        <v>200000</v>
      </c>
      <c r="C240" s="451">
        <v>200000</v>
      </c>
      <c r="D240" s="451">
        <v>200000</v>
      </c>
      <c r="E240" s="236">
        <f t="shared" si="13"/>
        <v>100</v>
      </c>
      <c r="F240" s="119" t="s">
        <v>108</v>
      </c>
      <c r="G240" s="121" t="s">
        <v>200</v>
      </c>
      <c r="H240" s="54"/>
    </row>
    <row r="241" spans="1:8" s="55" customFormat="1" x14ac:dyDescent="0.2">
      <c r="A241" s="233" t="s">
        <v>330</v>
      </c>
      <c r="B241" s="454">
        <v>1150000</v>
      </c>
      <c r="C241" s="451">
        <v>1148987.5</v>
      </c>
      <c r="D241" s="451">
        <v>1148987.5</v>
      </c>
      <c r="E241" s="236">
        <f t="shared" si="13"/>
        <v>100</v>
      </c>
      <c r="F241" s="119" t="s">
        <v>74</v>
      </c>
      <c r="G241" s="121" t="s">
        <v>200</v>
      </c>
      <c r="H241" s="54"/>
    </row>
    <row r="242" spans="1:8" s="55" customFormat="1" x14ac:dyDescent="0.2">
      <c r="A242" s="602" t="s">
        <v>569</v>
      </c>
      <c r="B242" s="454">
        <v>224000</v>
      </c>
      <c r="C242" s="451">
        <v>0</v>
      </c>
      <c r="D242" s="451">
        <v>0</v>
      </c>
      <c r="E242" s="236">
        <v>0</v>
      </c>
      <c r="F242" s="119" t="s">
        <v>430</v>
      </c>
      <c r="G242" s="121" t="s">
        <v>200</v>
      </c>
      <c r="H242" s="54"/>
    </row>
    <row r="243" spans="1:8" s="55" customFormat="1" x14ac:dyDescent="0.2">
      <c r="A243" s="233" t="s">
        <v>332</v>
      </c>
      <c r="B243" s="454">
        <v>300000</v>
      </c>
      <c r="C243" s="451">
        <v>407721</v>
      </c>
      <c r="D243" s="451">
        <v>407721</v>
      </c>
      <c r="E243" s="236">
        <f t="shared" si="13"/>
        <v>100</v>
      </c>
      <c r="F243" s="119" t="s">
        <v>196</v>
      </c>
      <c r="G243" s="121" t="s">
        <v>200</v>
      </c>
      <c r="H243" s="54"/>
    </row>
    <row r="244" spans="1:8" s="55" customFormat="1" x14ac:dyDescent="0.2">
      <c r="A244" s="233" t="s">
        <v>333</v>
      </c>
      <c r="B244" s="454">
        <v>200000</v>
      </c>
      <c r="C244" s="451">
        <v>195000</v>
      </c>
      <c r="D244" s="451">
        <v>195000</v>
      </c>
      <c r="E244" s="236">
        <f t="shared" si="13"/>
        <v>100</v>
      </c>
      <c r="F244" s="119" t="s">
        <v>205</v>
      </c>
      <c r="G244" s="121" t="s">
        <v>200</v>
      </c>
      <c r="H244" s="54"/>
    </row>
    <row r="245" spans="1:8" s="55" customFormat="1" x14ac:dyDescent="0.2">
      <c r="A245" s="602" t="s">
        <v>343</v>
      </c>
      <c r="B245" s="454">
        <v>300000</v>
      </c>
      <c r="C245" s="451">
        <v>490579.5</v>
      </c>
      <c r="D245" s="451">
        <v>490579.5</v>
      </c>
      <c r="E245" s="236">
        <f t="shared" si="13"/>
        <v>100</v>
      </c>
      <c r="F245" s="119" t="s">
        <v>197</v>
      </c>
      <c r="G245" s="121" t="s">
        <v>200</v>
      </c>
      <c r="H245" s="54"/>
    </row>
    <row r="246" spans="1:8" s="55" customFormat="1" x14ac:dyDescent="0.2">
      <c r="A246" s="233" t="s">
        <v>334</v>
      </c>
      <c r="B246" s="454">
        <v>0</v>
      </c>
      <c r="C246" s="451">
        <v>475012</v>
      </c>
      <c r="D246" s="451">
        <v>475012</v>
      </c>
      <c r="E246" s="236">
        <f t="shared" si="13"/>
        <v>100</v>
      </c>
      <c r="F246" s="119" t="s">
        <v>206</v>
      </c>
      <c r="G246" s="121" t="s">
        <v>200</v>
      </c>
      <c r="H246" s="54"/>
    </row>
    <row r="247" spans="1:8" s="55" customFormat="1" x14ac:dyDescent="0.2">
      <c r="A247" s="233" t="s">
        <v>335</v>
      </c>
      <c r="B247" s="454">
        <v>3220000</v>
      </c>
      <c r="C247" s="451">
        <v>3050006.5</v>
      </c>
      <c r="D247" s="451">
        <v>3050006.5</v>
      </c>
      <c r="E247" s="236">
        <f t="shared" si="13"/>
        <v>100</v>
      </c>
      <c r="F247" s="119" t="s">
        <v>76</v>
      </c>
      <c r="G247" s="121" t="s">
        <v>200</v>
      </c>
      <c r="H247" s="54"/>
    </row>
    <row r="248" spans="1:8" s="55" customFormat="1" x14ac:dyDescent="0.2">
      <c r="A248" s="602" t="s">
        <v>336</v>
      </c>
      <c r="B248" s="454">
        <v>700000</v>
      </c>
      <c r="C248" s="451">
        <v>1084464.75</v>
      </c>
      <c r="D248" s="451">
        <v>1084464.75</v>
      </c>
      <c r="E248" s="236">
        <f t="shared" si="13"/>
        <v>100</v>
      </c>
      <c r="F248" s="119" t="s">
        <v>109</v>
      </c>
      <c r="G248" s="121" t="s">
        <v>200</v>
      </c>
      <c r="H248" s="54"/>
    </row>
    <row r="249" spans="1:8" s="55" customFormat="1" x14ac:dyDescent="0.2">
      <c r="A249" s="602" t="s">
        <v>337</v>
      </c>
      <c r="B249" s="454">
        <v>125000</v>
      </c>
      <c r="C249" s="451">
        <v>24345</v>
      </c>
      <c r="D249" s="451">
        <v>24345</v>
      </c>
      <c r="E249" s="236">
        <f t="shared" si="13"/>
        <v>100</v>
      </c>
      <c r="F249" s="119" t="s">
        <v>198</v>
      </c>
      <c r="G249" s="121" t="s">
        <v>200</v>
      </c>
      <c r="H249" s="54"/>
    </row>
    <row r="250" spans="1:8" s="55" customFormat="1" x14ac:dyDescent="0.2">
      <c r="A250" s="602" t="s">
        <v>344</v>
      </c>
      <c r="B250" s="454">
        <v>500000</v>
      </c>
      <c r="C250" s="451">
        <v>2219250</v>
      </c>
      <c r="D250" s="451">
        <v>2219250</v>
      </c>
      <c r="E250" s="236">
        <f t="shared" si="13"/>
        <v>100</v>
      </c>
      <c r="F250" s="119" t="s">
        <v>207</v>
      </c>
      <c r="G250" s="121" t="s">
        <v>200</v>
      </c>
      <c r="H250" s="54"/>
    </row>
    <row r="251" spans="1:8" s="55" customFormat="1" x14ac:dyDescent="0.2">
      <c r="A251" s="602" t="s">
        <v>345</v>
      </c>
      <c r="B251" s="454">
        <v>0</v>
      </c>
      <c r="C251" s="451">
        <v>209719.96</v>
      </c>
      <c r="D251" s="451">
        <v>209719.96</v>
      </c>
      <c r="E251" s="236">
        <f t="shared" si="13"/>
        <v>100</v>
      </c>
      <c r="F251" s="119" t="s">
        <v>110</v>
      </c>
      <c r="G251" s="121" t="s">
        <v>200</v>
      </c>
      <c r="H251" s="54"/>
    </row>
    <row r="252" spans="1:8" s="55" customFormat="1" ht="13.5" thickBot="1" x14ac:dyDescent="0.25">
      <c r="A252" s="602" t="s">
        <v>346</v>
      </c>
      <c r="B252" s="454">
        <v>126000</v>
      </c>
      <c r="C252" s="451">
        <v>126000</v>
      </c>
      <c r="D252" s="451">
        <v>126000</v>
      </c>
      <c r="E252" s="236">
        <f t="shared" si="13"/>
        <v>100</v>
      </c>
      <c r="F252" s="119" t="s">
        <v>112</v>
      </c>
      <c r="G252" s="121" t="s">
        <v>200</v>
      </c>
      <c r="H252" s="54"/>
    </row>
    <row r="253" spans="1:8" s="55" customFormat="1" ht="13.5" thickTop="1" x14ac:dyDescent="0.2">
      <c r="A253" s="197"/>
      <c r="B253" s="198"/>
      <c r="C253" s="198"/>
      <c r="D253" s="198"/>
      <c r="E253" s="196"/>
      <c r="F253" s="119"/>
      <c r="G253" s="121"/>
      <c r="H253" s="54"/>
    </row>
    <row r="254" spans="1:8" s="55" customFormat="1" ht="15.75" thickBot="1" x14ac:dyDescent="0.25">
      <c r="A254" s="184"/>
      <c r="B254" s="491"/>
      <c r="C254" s="9"/>
      <c r="D254" s="9"/>
      <c r="E254" s="185" t="s">
        <v>18</v>
      </c>
      <c r="F254" s="119"/>
      <c r="G254" s="121"/>
      <c r="H254" s="54"/>
    </row>
    <row r="255" spans="1:8" s="55" customFormat="1" ht="14.25" thickTop="1" thickBot="1" x14ac:dyDescent="0.25">
      <c r="A255" s="41" t="s">
        <v>5</v>
      </c>
      <c r="B255" s="42" t="s">
        <v>0</v>
      </c>
      <c r="C255" s="43" t="s">
        <v>1</v>
      </c>
      <c r="D255" s="44" t="s">
        <v>4</v>
      </c>
      <c r="E255" s="45" t="s">
        <v>6</v>
      </c>
      <c r="F255" s="119"/>
      <c r="G255" s="121"/>
      <c r="H255" s="54"/>
    </row>
    <row r="256" spans="1:8" s="55" customFormat="1" ht="13.5" thickTop="1" x14ac:dyDescent="0.2">
      <c r="A256" s="233" t="s">
        <v>339</v>
      </c>
      <c r="B256" s="454">
        <v>470000</v>
      </c>
      <c r="C256" s="451">
        <v>567312</v>
      </c>
      <c r="D256" s="451">
        <v>567312</v>
      </c>
      <c r="E256" s="236">
        <f t="shared" si="13"/>
        <v>100</v>
      </c>
      <c r="F256" s="119" t="s">
        <v>250</v>
      </c>
      <c r="G256" s="121" t="s">
        <v>202</v>
      </c>
      <c r="H256" s="54"/>
    </row>
    <row r="257" spans="1:12" s="55" customFormat="1" x14ac:dyDescent="0.2">
      <c r="A257" s="233" t="s">
        <v>325</v>
      </c>
      <c r="B257" s="454">
        <v>425000</v>
      </c>
      <c r="C257" s="451">
        <v>352140</v>
      </c>
      <c r="D257" s="451">
        <v>352140</v>
      </c>
      <c r="E257" s="236">
        <f t="shared" si="13"/>
        <v>100</v>
      </c>
      <c r="F257" s="119" t="s">
        <v>71</v>
      </c>
      <c r="G257" s="121" t="s">
        <v>202</v>
      </c>
      <c r="H257" s="54"/>
    </row>
    <row r="258" spans="1:12" s="55" customFormat="1" ht="12.75" customHeight="1" x14ac:dyDescent="0.2">
      <c r="A258" s="233" t="s">
        <v>326</v>
      </c>
      <c r="B258" s="454">
        <v>908000</v>
      </c>
      <c r="C258" s="451">
        <v>883775</v>
      </c>
      <c r="D258" s="451">
        <v>883775</v>
      </c>
      <c r="E258" s="236">
        <f t="shared" si="13"/>
        <v>100</v>
      </c>
      <c r="F258" s="119" t="s">
        <v>72</v>
      </c>
      <c r="G258" s="121" t="s">
        <v>202</v>
      </c>
      <c r="H258" s="54"/>
    </row>
    <row r="259" spans="1:12" s="55" customFormat="1" ht="12.75" customHeight="1" x14ac:dyDescent="0.2">
      <c r="A259" s="602" t="s">
        <v>568</v>
      </c>
      <c r="B259" s="454">
        <v>0</v>
      </c>
      <c r="C259" s="451">
        <v>159720</v>
      </c>
      <c r="D259" s="451">
        <v>159720</v>
      </c>
      <c r="E259" s="236">
        <f t="shared" si="13"/>
        <v>100</v>
      </c>
      <c r="F259" s="119" t="s">
        <v>429</v>
      </c>
      <c r="G259" s="121" t="s">
        <v>202</v>
      </c>
      <c r="H259" s="54"/>
    </row>
    <row r="260" spans="1:12" s="55" customFormat="1" x14ac:dyDescent="0.2">
      <c r="A260" s="233" t="s">
        <v>340</v>
      </c>
      <c r="B260" s="454">
        <v>963000</v>
      </c>
      <c r="C260" s="451">
        <v>866353</v>
      </c>
      <c r="D260" s="451">
        <v>866353</v>
      </c>
      <c r="E260" s="236">
        <f t="shared" si="13"/>
        <v>100</v>
      </c>
      <c r="F260" s="119" t="s">
        <v>73</v>
      </c>
      <c r="G260" s="121" t="s">
        <v>202</v>
      </c>
      <c r="H260" s="54"/>
    </row>
    <row r="261" spans="1:12" s="55" customFormat="1" x14ac:dyDescent="0.2">
      <c r="A261" s="233" t="s">
        <v>327</v>
      </c>
      <c r="B261" s="454">
        <v>1265000</v>
      </c>
      <c r="C261" s="451">
        <v>3490713.83</v>
      </c>
      <c r="D261" s="451">
        <v>3490713.83</v>
      </c>
      <c r="E261" s="236">
        <f t="shared" si="13"/>
        <v>100</v>
      </c>
      <c r="F261" s="119" t="s">
        <v>106</v>
      </c>
      <c r="G261" s="121" t="s">
        <v>202</v>
      </c>
      <c r="H261" s="54"/>
    </row>
    <row r="262" spans="1:12" s="55" customFormat="1" x14ac:dyDescent="0.2">
      <c r="A262" s="233" t="s">
        <v>341</v>
      </c>
      <c r="B262" s="454">
        <v>915000</v>
      </c>
      <c r="C262" s="451">
        <v>897671</v>
      </c>
      <c r="D262" s="451">
        <v>897671</v>
      </c>
      <c r="E262" s="236">
        <f t="shared" si="13"/>
        <v>100</v>
      </c>
      <c r="F262" s="119" t="s">
        <v>203</v>
      </c>
      <c r="G262" s="121" t="s">
        <v>202</v>
      </c>
      <c r="H262" s="54"/>
    </row>
    <row r="263" spans="1:12" s="55" customFormat="1" x14ac:dyDescent="0.2">
      <c r="A263" s="233" t="s">
        <v>330</v>
      </c>
      <c r="B263" s="454">
        <v>1060000</v>
      </c>
      <c r="C263" s="451">
        <v>2026327.7</v>
      </c>
      <c r="D263" s="451">
        <v>2026327.7</v>
      </c>
      <c r="E263" s="236">
        <f t="shared" si="13"/>
        <v>100</v>
      </c>
      <c r="F263" s="119" t="s">
        <v>74</v>
      </c>
      <c r="G263" s="121" t="s">
        <v>202</v>
      </c>
      <c r="H263" s="54"/>
    </row>
    <row r="264" spans="1:12" s="55" customFormat="1" x14ac:dyDescent="0.2">
      <c r="A264" s="233" t="s">
        <v>342</v>
      </c>
      <c r="B264" s="454">
        <v>630000</v>
      </c>
      <c r="C264" s="451">
        <v>630000</v>
      </c>
      <c r="D264" s="451">
        <v>630000</v>
      </c>
      <c r="E264" s="236">
        <f t="shared" si="13"/>
        <v>100</v>
      </c>
      <c r="F264" s="119" t="s">
        <v>204</v>
      </c>
      <c r="G264" s="121" t="s">
        <v>202</v>
      </c>
      <c r="H264" s="54"/>
    </row>
    <row r="265" spans="1:12" s="55" customFormat="1" x14ac:dyDescent="0.2">
      <c r="A265" s="233" t="s">
        <v>331</v>
      </c>
      <c r="B265" s="454">
        <v>350000</v>
      </c>
      <c r="C265" s="451">
        <v>460345.22</v>
      </c>
      <c r="D265" s="451">
        <v>460345.22</v>
      </c>
      <c r="E265" s="236">
        <f t="shared" si="13"/>
        <v>100</v>
      </c>
      <c r="F265" s="119" t="s">
        <v>75</v>
      </c>
      <c r="G265" s="121" t="s">
        <v>202</v>
      </c>
      <c r="H265" s="54"/>
    </row>
    <row r="266" spans="1:12" s="55" customFormat="1" x14ac:dyDescent="0.2">
      <c r="A266" s="602" t="s">
        <v>569</v>
      </c>
      <c r="B266" s="454">
        <v>0</v>
      </c>
      <c r="C266" s="451">
        <v>780000</v>
      </c>
      <c r="D266" s="451">
        <v>780000</v>
      </c>
      <c r="E266" s="236">
        <f t="shared" si="13"/>
        <v>100</v>
      </c>
      <c r="F266" s="119" t="s">
        <v>430</v>
      </c>
      <c r="G266" s="121" t="s">
        <v>202</v>
      </c>
      <c r="H266" s="54"/>
    </row>
    <row r="267" spans="1:12" s="55" customFormat="1" x14ac:dyDescent="0.2">
      <c r="A267" s="233" t="s">
        <v>332</v>
      </c>
      <c r="B267" s="454">
        <v>770000</v>
      </c>
      <c r="C267" s="451">
        <v>830135</v>
      </c>
      <c r="D267" s="451">
        <v>830135</v>
      </c>
      <c r="E267" s="236">
        <f t="shared" si="13"/>
        <v>100</v>
      </c>
      <c r="F267" s="119" t="s">
        <v>196</v>
      </c>
      <c r="G267" s="121" t="s">
        <v>202</v>
      </c>
      <c r="H267" s="54"/>
    </row>
    <row r="268" spans="1:12" s="55" customFormat="1" x14ac:dyDescent="0.2">
      <c r="A268" s="233" t="s">
        <v>333</v>
      </c>
      <c r="B268" s="454">
        <v>595000</v>
      </c>
      <c r="C268" s="451">
        <v>544272</v>
      </c>
      <c r="D268" s="451">
        <v>544272</v>
      </c>
      <c r="E268" s="236">
        <f t="shared" si="13"/>
        <v>100</v>
      </c>
      <c r="F268" s="119" t="s">
        <v>205</v>
      </c>
      <c r="G268" s="121" t="s">
        <v>202</v>
      </c>
      <c r="H268" s="54"/>
      <c r="I268" s="144" t="s">
        <v>32</v>
      </c>
      <c r="J268" s="145">
        <f>SUM(B189:B230)</f>
        <v>148712000</v>
      </c>
      <c r="K268" s="145">
        <f t="shared" ref="K268:L268" si="14">SUM(C189:C230)</f>
        <v>64275775.989999995</v>
      </c>
      <c r="L268" s="145">
        <f t="shared" si="14"/>
        <v>38552886.550000004</v>
      </c>
    </row>
    <row r="269" spans="1:12" s="55" customFormat="1" x14ac:dyDescent="0.2">
      <c r="A269" s="233" t="s">
        <v>343</v>
      </c>
      <c r="B269" s="454">
        <v>505000</v>
      </c>
      <c r="C269" s="451">
        <v>185252.6</v>
      </c>
      <c r="D269" s="451">
        <v>185252.6</v>
      </c>
      <c r="E269" s="236">
        <f t="shared" si="13"/>
        <v>100</v>
      </c>
      <c r="F269" s="119" t="s">
        <v>197</v>
      </c>
      <c r="G269" s="121" t="s">
        <v>202</v>
      </c>
      <c r="H269" s="54"/>
      <c r="I269" s="121" t="s">
        <v>34</v>
      </c>
      <c r="J269" s="126">
        <f>B234</f>
        <v>26333000</v>
      </c>
      <c r="K269" s="126">
        <f>C234</f>
        <v>33014417.16</v>
      </c>
      <c r="L269" s="126">
        <f>D234</f>
        <v>33014417.16</v>
      </c>
    </row>
    <row r="270" spans="1:12" s="55" customFormat="1" ht="15" x14ac:dyDescent="0.25">
      <c r="A270" s="233" t="s">
        <v>335</v>
      </c>
      <c r="B270" s="454">
        <v>760000</v>
      </c>
      <c r="C270" s="451">
        <v>732525.29</v>
      </c>
      <c r="D270" s="451">
        <v>732525.29</v>
      </c>
      <c r="E270" s="236">
        <f t="shared" si="13"/>
        <v>100</v>
      </c>
      <c r="F270" s="119" t="s">
        <v>76</v>
      </c>
      <c r="G270" s="121" t="s">
        <v>202</v>
      </c>
      <c r="H270" s="54"/>
      <c r="I270" s="149"/>
      <c r="J270" s="124">
        <f>J268+J269</f>
        <v>175045000</v>
      </c>
      <c r="K270" s="124">
        <f t="shared" ref="K270:L270" si="15">K268+K269</f>
        <v>97290193.149999991</v>
      </c>
      <c r="L270" s="124">
        <f t="shared" si="15"/>
        <v>71567303.710000008</v>
      </c>
    </row>
    <row r="271" spans="1:12" s="55" customFormat="1" x14ac:dyDescent="0.2">
      <c r="A271" s="233" t="s">
        <v>336</v>
      </c>
      <c r="B271" s="454">
        <v>1190000</v>
      </c>
      <c r="C271" s="451">
        <v>910625</v>
      </c>
      <c r="D271" s="451">
        <v>910625</v>
      </c>
      <c r="E271" s="236">
        <f t="shared" si="13"/>
        <v>100</v>
      </c>
      <c r="F271" s="119" t="s">
        <v>109</v>
      </c>
      <c r="G271" s="121" t="s">
        <v>202</v>
      </c>
      <c r="H271" s="54"/>
    </row>
    <row r="272" spans="1:12" s="55" customFormat="1" x14ac:dyDescent="0.2">
      <c r="A272" s="233" t="s">
        <v>337</v>
      </c>
      <c r="B272" s="454">
        <v>1164000</v>
      </c>
      <c r="C272" s="451">
        <v>1074336.7</v>
      </c>
      <c r="D272" s="451">
        <v>1074336.7</v>
      </c>
      <c r="E272" s="236">
        <f t="shared" si="13"/>
        <v>100</v>
      </c>
      <c r="F272" s="119" t="s">
        <v>198</v>
      </c>
      <c r="G272" s="121" t="s">
        <v>202</v>
      </c>
      <c r="H272" s="54"/>
    </row>
    <row r="273" spans="1:8" s="55" customFormat="1" x14ac:dyDescent="0.2">
      <c r="A273" s="233" t="s">
        <v>344</v>
      </c>
      <c r="B273" s="454">
        <v>2000000</v>
      </c>
      <c r="C273" s="451">
        <v>2577124</v>
      </c>
      <c r="D273" s="451">
        <v>2577124</v>
      </c>
      <c r="E273" s="236">
        <f t="shared" si="13"/>
        <v>100</v>
      </c>
      <c r="F273" s="119" t="s">
        <v>207</v>
      </c>
      <c r="G273" s="121" t="s">
        <v>202</v>
      </c>
      <c r="H273" s="54"/>
    </row>
    <row r="274" spans="1:8" s="55" customFormat="1" x14ac:dyDescent="0.2">
      <c r="A274" s="233" t="s">
        <v>345</v>
      </c>
      <c r="B274" s="454">
        <v>188000</v>
      </c>
      <c r="C274" s="451">
        <v>73184</v>
      </c>
      <c r="D274" s="451">
        <v>73184</v>
      </c>
      <c r="E274" s="236">
        <f t="shared" si="13"/>
        <v>100</v>
      </c>
      <c r="F274" s="119" t="s">
        <v>110</v>
      </c>
      <c r="G274" s="121" t="s">
        <v>202</v>
      </c>
      <c r="H274" s="54"/>
    </row>
    <row r="275" spans="1:8" s="55" customFormat="1" x14ac:dyDescent="0.2">
      <c r="A275" s="233" t="s">
        <v>338</v>
      </c>
      <c r="B275" s="454">
        <v>1765000</v>
      </c>
      <c r="C275" s="451">
        <v>1746261.84</v>
      </c>
      <c r="D275" s="451">
        <v>1746261.84</v>
      </c>
      <c r="E275" s="236">
        <f t="shared" si="13"/>
        <v>100</v>
      </c>
      <c r="F275" s="119" t="s">
        <v>111</v>
      </c>
      <c r="G275" s="121" t="s">
        <v>202</v>
      </c>
      <c r="H275" s="54"/>
    </row>
    <row r="276" spans="1:8" s="55" customFormat="1" ht="13.5" thickBot="1" x14ac:dyDescent="0.25">
      <c r="A276" s="452" t="s">
        <v>346</v>
      </c>
      <c r="B276" s="493">
        <v>242000</v>
      </c>
      <c r="C276" s="453">
        <v>211581</v>
      </c>
      <c r="D276" s="453">
        <v>211581</v>
      </c>
      <c r="E276" s="241">
        <f t="shared" si="13"/>
        <v>100</v>
      </c>
      <c r="F276" s="119" t="s">
        <v>112</v>
      </c>
      <c r="G276" s="121" t="s">
        <v>202</v>
      </c>
      <c r="H276" s="54"/>
    </row>
    <row r="277" spans="1:8" s="55" customFormat="1" ht="13.5" thickTop="1" x14ac:dyDescent="0.2">
      <c r="A277" s="190"/>
      <c r="B277" s="191"/>
      <c r="C277" s="191"/>
      <c r="D277" s="191"/>
      <c r="E277" s="53"/>
      <c r="F277" s="119"/>
      <c r="G277" s="121"/>
      <c r="H277" s="54"/>
    </row>
    <row r="278" spans="1:8" s="6" customFormat="1" ht="18.75" thickBot="1" x14ac:dyDescent="0.3">
      <c r="A278" s="63" t="s">
        <v>21</v>
      </c>
      <c r="B278" s="492">
        <f>SUM(B188,B234)</f>
        <v>175045000</v>
      </c>
      <c r="C278" s="492">
        <f t="shared" ref="C278:D278" si="16">SUM(C188,C234)</f>
        <v>97290193.149999991</v>
      </c>
      <c r="D278" s="492">
        <f t="shared" si="16"/>
        <v>71567303.710000008</v>
      </c>
      <c r="E278" s="65">
        <f>D278/C278*100</f>
        <v>73.560655388625889</v>
      </c>
      <c r="F278" s="29"/>
      <c r="G278" s="66"/>
      <c r="H278" s="66"/>
    </row>
    <row r="279" spans="1:8" s="7" customFormat="1" ht="13.5" thickTop="1" x14ac:dyDescent="0.2">
      <c r="B279" s="494"/>
      <c r="E279" s="53"/>
      <c r="F279" s="83"/>
      <c r="G279" s="57"/>
      <c r="H279" s="57"/>
    </row>
    <row r="280" spans="1:8" s="7" customFormat="1" x14ac:dyDescent="0.2">
      <c r="B280" s="494"/>
      <c r="E280" s="53"/>
      <c r="F280" s="83"/>
      <c r="G280" s="57"/>
      <c r="H280" s="57"/>
    </row>
    <row r="281" spans="1:8" ht="15" customHeight="1" x14ac:dyDescent="0.25">
      <c r="A281" s="36" t="s">
        <v>58</v>
      </c>
      <c r="B281" s="32"/>
    </row>
    <row r="282" spans="1:8" ht="15" customHeight="1" thickBot="1" x14ac:dyDescent="0.3">
      <c r="A282" s="39" t="s">
        <v>125</v>
      </c>
      <c r="B282" s="32"/>
      <c r="E282" s="40" t="s">
        <v>18</v>
      </c>
    </row>
    <row r="283" spans="1:8" ht="14.25" thickTop="1" thickBot="1" x14ac:dyDescent="0.25">
      <c r="A283" s="41" t="s">
        <v>5</v>
      </c>
      <c r="B283" s="42" t="s">
        <v>0</v>
      </c>
      <c r="C283" s="43" t="s">
        <v>1</v>
      </c>
      <c r="D283" s="44" t="s">
        <v>4</v>
      </c>
      <c r="E283" s="45" t="s">
        <v>6</v>
      </c>
    </row>
    <row r="284" spans="1:8" ht="15.75" thickTop="1" x14ac:dyDescent="0.2">
      <c r="A284" s="157" t="s">
        <v>8</v>
      </c>
      <c r="B284" s="112">
        <f>SUM(B285:B296)</f>
        <v>84323000</v>
      </c>
      <c r="C284" s="112">
        <f t="shared" ref="C284:D284" si="17">SUM(C285:C296)</f>
        <v>72034000</v>
      </c>
      <c r="D284" s="112">
        <f t="shared" si="17"/>
        <v>57750602.75</v>
      </c>
      <c r="E284" s="158">
        <f>D284/C284*100</f>
        <v>80.171311811089211</v>
      </c>
      <c r="F284" s="37"/>
    </row>
    <row r="285" spans="1:8" x14ac:dyDescent="0.2">
      <c r="A285" s="518" t="s">
        <v>288</v>
      </c>
      <c r="B285" s="514">
        <v>226000</v>
      </c>
      <c r="C285" s="519">
        <v>226000</v>
      </c>
      <c r="D285" s="519">
        <v>0</v>
      </c>
      <c r="E285" s="515">
        <f t="shared" ref="E285:E295" si="18">D285/C285*100</f>
        <v>0</v>
      </c>
      <c r="F285" s="86">
        <v>100636</v>
      </c>
      <c r="G285" s="116" t="s">
        <v>32</v>
      </c>
    </row>
    <row r="286" spans="1:8" s="35" customFormat="1" x14ac:dyDescent="0.2">
      <c r="A286" s="254" t="s">
        <v>190</v>
      </c>
      <c r="B286" s="456">
        <v>8029000</v>
      </c>
      <c r="C286" s="255">
        <v>7990000</v>
      </c>
      <c r="D286" s="255">
        <v>6770589.1799999997</v>
      </c>
      <c r="E286" s="236">
        <f t="shared" si="18"/>
        <v>84.738287609511886</v>
      </c>
      <c r="F286" s="86">
        <v>100989</v>
      </c>
      <c r="G286" s="116" t="s">
        <v>32</v>
      </c>
      <c r="H286" s="30"/>
    </row>
    <row r="287" spans="1:8" s="35" customFormat="1" x14ac:dyDescent="0.2">
      <c r="A287" s="254" t="s">
        <v>191</v>
      </c>
      <c r="B287" s="456">
        <v>25000000</v>
      </c>
      <c r="C287" s="255">
        <v>24573726.84</v>
      </c>
      <c r="D287" s="255">
        <v>24217314.68</v>
      </c>
      <c r="E287" s="236">
        <f t="shared" si="18"/>
        <v>98.549621055362877</v>
      </c>
      <c r="F287" s="86">
        <v>101075</v>
      </c>
      <c r="G287" s="116" t="s">
        <v>32</v>
      </c>
      <c r="H287" s="30"/>
    </row>
    <row r="288" spans="1:8" s="35" customFormat="1" ht="25.5" x14ac:dyDescent="0.2">
      <c r="A288" s="243" t="s">
        <v>192</v>
      </c>
      <c r="B288" s="234">
        <v>29488000</v>
      </c>
      <c r="C288" s="454">
        <v>19488000</v>
      </c>
      <c r="D288" s="454">
        <v>11457179.300000001</v>
      </c>
      <c r="E288" s="236">
        <f t="shared" si="18"/>
        <v>58.790944683908052</v>
      </c>
      <c r="F288" s="82">
        <v>101079</v>
      </c>
      <c r="G288" s="144" t="s">
        <v>32</v>
      </c>
      <c r="H288" s="30"/>
    </row>
    <row r="289" spans="1:8" s="35" customFormat="1" x14ac:dyDescent="0.2">
      <c r="A289" s="254" t="s">
        <v>193</v>
      </c>
      <c r="B289" s="456">
        <v>5000000</v>
      </c>
      <c r="C289" s="255">
        <v>4870671</v>
      </c>
      <c r="D289" s="255">
        <v>4622470.71</v>
      </c>
      <c r="E289" s="236">
        <f t="shared" si="18"/>
        <v>94.904186917983168</v>
      </c>
      <c r="F289" s="86">
        <v>101168</v>
      </c>
      <c r="G289" s="116" t="s">
        <v>32</v>
      </c>
      <c r="H289" s="30"/>
    </row>
    <row r="290" spans="1:8" s="35" customFormat="1" x14ac:dyDescent="0.2">
      <c r="A290" s="254" t="s">
        <v>502</v>
      </c>
      <c r="B290" s="456">
        <v>10000000</v>
      </c>
      <c r="C290" s="255">
        <v>10328735.060000001</v>
      </c>
      <c r="D290" s="255">
        <v>7010102.4900000002</v>
      </c>
      <c r="E290" s="236">
        <f t="shared" si="18"/>
        <v>67.869903228982622</v>
      </c>
      <c r="F290" s="86">
        <v>101187</v>
      </c>
      <c r="G290" s="116" t="s">
        <v>32</v>
      </c>
      <c r="H290" s="30"/>
    </row>
    <row r="291" spans="1:8" s="35" customFormat="1" ht="25.5" x14ac:dyDescent="0.2">
      <c r="A291" s="243" t="s">
        <v>194</v>
      </c>
      <c r="B291" s="234">
        <v>3000000</v>
      </c>
      <c r="C291" s="454">
        <v>1204642.45</v>
      </c>
      <c r="D291" s="454">
        <v>329797</v>
      </c>
      <c r="E291" s="236">
        <f t="shared" si="18"/>
        <v>27.377169051281562</v>
      </c>
      <c r="F291" s="82">
        <v>101189</v>
      </c>
      <c r="G291" s="144" t="s">
        <v>32</v>
      </c>
      <c r="H291" s="30"/>
    </row>
    <row r="292" spans="1:8" s="35" customFormat="1" x14ac:dyDescent="0.2">
      <c r="A292" s="254" t="s">
        <v>289</v>
      </c>
      <c r="B292" s="456">
        <v>450000</v>
      </c>
      <c r="C292" s="255">
        <v>0</v>
      </c>
      <c r="D292" s="255">
        <v>0</v>
      </c>
      <c r="E292" s="543">
        <v>0</v>
      </c>
      <c r="F292" s="86">
        <v>101309</v>
      </c>
      <c r="G292" s="116" t="s">
        <v>32</v>
      </c>
      <c r="H292" s="30"/>
    </row>
    <row r="293" spans="1:8" s="35" customFormat="1" x14ac:dyDescent="0.2">
      <c r="A293" s="544" t="s">
        <v>290</v>
      </c>
      <c r="B293" s="545">
        <v>300000</v>
      </c>
      <c r="C293" s="546">
        <v>0</v>
      </c>
      <c r="D293" s="546">
        <v>0</v>
      </c>
      <c r="E293" s="543">
        <v>0</v>
      </c>
      <c r="F293" s="86">
        <v>101312</v>
      </c>
      <c r="G293" s="116" t="s">
        <v>32</v>
      </c>
      <c r="H293" s="30"/>
    </row>
    <row r="294" spans="1:8" s="35" customFormat="1" ht="25.5" x14ac:dyDescent="0.2">
      <c r="A294" s="243" t="s">
        <v>291</v>
      </c>
      <c r="B294" s="234">
        <v>1530000</v>
      </c>
      <c r="C294" s="454">
        <v>1756867.1</v>
      </c>
      <c r="D294" s="454">
        <v>1747792.1</v>
      </c>
      <c r="E294" s="236">
        <f t="shared" si="18"/>
        <v>99.483455521479115</v>
      </c>
      <c r="F294" s="86">
        <v>101326</v>
      </c>
      <c r="G294" s="116" t="s">
        <v>32</v>
      </c>
      <c r="H294" s="30"/>
    </row>
    <row r="295" spans="1:8" s="35" customFormat="1" x14ac:dyDescent="0.2">
      <c r="A295" s="243" t="s">
        <v>503</v>
      </c>
      <c r="B295" s="234">
        <v>800000</v>
      </c>
      <c r="C295" s="454">
        <v>1595357.55</v>
      </c>
      <c r="D295" s="454">
        <v>1595357.29</v>
      </c>
      <c r="E295" s="236">
        <f t="shared" si="18"/>
        <v>99.99998370271291</v>
      </c>
      <c r="F295" s="86">
        <v>101416</v>
      </c>
      <c r="G295" s="116" t="s">
        <v>32</v>
      </c>
      <c r="H295" s="30"/>
    </row>
    <row r="296" spans="1:8" s="35" customFormat="1" ht="13.5" thickBot="1" x14ac:dyDescent="0.25">
      <c r="A296" s="244" t="s">
        <v>504</v>
      </c>
      <c r="B296" s="450">
        <v>500000</v>
      </c>
      <c r="C296" s="493">
        <v>0</v>
      </c>
      <c r="D296" s="493">
        <v>0</v>
      </c>
      <c r="E296" s="241">
        <v>0</v>
      </c>
      <c r="F296" s="86">
        <v>101417</v>
      </c>
      <c r="G296" s="116" t="s">
        <v>32</v>
      </c>
      <c r="H296" s="30"/>
    </row>
    <row r="297" spans="1:8" ht="13.5" thickTop="1" x14ac:dyDescent="0.2">
      <c r="A297" s="67"/>
      <c r="B297" s="74"/>
      <c r="C297" s="70"/>
      <c r="D297" s="70"/>
      <c r="E297" s="53"/>
      <c r="F297" s="37"/>
      <c r="G297" s="116"/>
    </row>
    <row r="298" spans="1:8" ht="15" customHeight="1" thickBot="1" x14ac:dyDescent="0.25">
      <c r="A298" s="58" t="s">
        <v>29</v>
      </c>
      <c r="B298" s="32"/>
      <c r="E298" s="40" t="s">
        <v>18</v>
      </c>
    </row>
    <row r="299" spans="1:8" ht="14.25" thickTop="1" thickBot="1" x14ac:dyDescent="0.25">
      <c r="A299" s="41" t="s">
        <v>5</v>
      </c>
      <c r="B299" s="42" t="s">
        <v>0</v>
      </c>
      <c r="C299" s="43" t="s">
        <v>1</v>
      </c>
      <c r="D299" s="44" t="s">
        <v>4</v>
      </c>
      <c r="E299" s="45" t="s">
        <v>6</v>
      </c>
    </row>
    <row r="300" spans="1:8" ht="15.75" thickTop="1" x14ac:dyDescent="0.2">
      <c r="A300" s="157" t="s">
        <v>8</v>
      </c>
      <c r="B300" s="112">
        <f>SUM(B301:B310)</f>
        <v>12586000</v>
      </c>
      <c r="C300" s="112">
        <f t="shared" ref="C300:D300" si="19">SUM(C301:C310)</f>
        <v>9782209.3999999985</v>
      </c>
      <c r="D300" s="112">
        <f t="shared" si="19"/>
        <v>9782209.3999999985</v>
      </c>
      <c r="E300" s="158">
        <f>D300/C300*100</f>
        <v>100</v>
      </c>
      <c r="F300" s="37"/>
    </row>
    <row r="301" spans="1:8" x14ac:dyDescent="0.2">
      <c r="A301" s="520" t="s">
        <v>353</v>
      </c>
      <c r="B301" s="521">
        <v>257000</v>
      </c>
      <c r="C301" s="521">
        <v>257000</v>
      </c>
      <c r="D301" s="521">
        <v>257000</v>
      </c>
      <c r="E301" s="515">
        <f t="shared" ref="E301:E310" si="20">D301/C301*100</f>
        <v>100</v>
      </c>
      <c r="F301" s="86">
        <v>1601</v>
      </c>
      <c r="G301" s="121" t="s">
        <v>208</v>
      </c>
    </row>
    <row r="302" spans="1:8" x14ac:dyDescent="0.2">
      <c r="A302" s="520" t="s">
        <v>348</v>
      </c>
      <c r="B302" s="521">
        <v>0</v>
      </c>
      <c r="C302" s="521">
        <v>238000</v>
      </c>
      <c r="D302" s="521">
        <v>238000</v>
      </c>
      <c r="E302" s="515">
        <f t="shared" si="20"/>
        <v>100</v>
      </c>
      <c r="F302" s="86">
        <v>1603</v>
      </c>
      <c r="G302" s="121" t="s">
        <v>208</v>
      </c>
    </row>
    <row r="303" spans="1:8" ht="14.25" customHeight="1" x14ac:dyDescent="0.2">
      <c r="A303" s="243" t="s">
        <v>349</v>
      </c>
      <c r="B303" s="255">
        <v>250000</v>
      </c>
      <c r="C303" s="255">
        <v>623325</v>
      </c>
      <c r="D303" s="255">
        <v>623325</v>
      </c>
      <c r="E303" s="515">
        <f t="shared" si="20"/>
        <v>100</v>
      </c>
      <c r="F303" s="86">
        <v>1604</v>
      </c>
      <c r="G303" s="121" t="s">
        <v>208</v>
      </c>
    </row>
    <row r="304" spans="1:8" x14ac:dyDescent="0.2">
      <c r="A304" s="243" t="s">
        <v>350</v>
      </c>
      <c r="B304" s="255">
        <v>1364000</v>
      </c>
      <c r="C304" s="255">
        <v>1352955.56</v>
      </c>
      <c r="D304" s="255">
        <v>1352955.56</v>
      </c>
      <c r="E304" s="515">
        <f t="shared" si="20"/>
        <v>100</v>
      </c>
      <c r="F304" s="86">
        <v>1606</v>
      </c>
      <c r="G304" s="121" t="s">
        <v>208</v>
      </c>
    </row>
    <row r="305" spans="1:12" x14ac:dyDescent="0.2">
      <c r="A305" s="243" t="s">
        <v>353</v>
      </c>
      <c r="B305" s="255">
        <v>605000</v>
      </c>
      <c r="C305" s="255">
        <v>447500</v>
      </c>
      <c r="D305" s="255">
        <v>447500</v>
      </c>
      <c r="E305" s="515">
        <f t="shared" si="20"/>
        <v>100</v>
      </c>
      <c r="F305" s="86">
        <v>1601</v>
      </c>
      <c r="G305" s="121" t="s">
        <v>209</v>
      </c>
    </row>
    <row r="306" spans="1:12" x14ac:dyDescent="0.2">
      <c r="A306" s="243" t="s">
        <v>347</v>
      </c>
      <c r="B306" s="255">
        <v>1570000</v>
      </c>
      <c r="C306" s="255">
        <v>1500432.66</v>
      </c>
      <c r="D306" s="255">
        <v>1500432.66</v>
      </c>
      <c r="E306" s="515">
        <f t="shared" si="20"/>
        <v>100</v>
      </c>
      <c r="F306" s="86">
        <v>1602</v>
      </c>
      <c r="G306" s="121" t="s">
        <v>209</v>
      </c>
    </row>
    <row r="307" spans="1:12" x14ac:dyDescent="0.2">
      <c r="A307" s="243" t="s">
        <v>348</v>
      </c>
      <c r="B307" s="255">
        <v>435000</v>
      </c>
      <c r="C307" s="255">
        <v>1625698</v>
      </c>
      <c r="D307" s="255">
        <v>1625698</v>
      </c>
      <c r="E307" s="515">
        <f t="shared" si="20"/>
        <v>100</v>
      </c>
      <c r="F307" s="86">
        <v>1603</v>
      </c>
      <c r="G307" s="121" t="s">
        <v>209</v>
      </c>
    </row>
    <row r="308" spans="1:12" x14ac:dyDescent="0.2">
      <c r="A308" s="243" t="s">
        <v>350</v>
      </c>
      <c r="B308" s="454">
        <v>2365000</v>
      </c>
      <c r="C308" s="454">
        <v>498616.8</v>
      </c>
      <c r="D308" s="454">
        <v>498616.8</v>
      </c>
      <c r="E308" s="515">
        <f t="shared" si="20"/>
        <v>100</v>
      </c>
      <c r="F308" s="82">
        <v>1606</v>
      </c>
      <c r="G308" s="121" t="s">
        <v>209</v>
      </c>
    </row>
    <row r="309" spans="1:12" x14ac:dyDescent="0.2">
      <c r="A309" s="243" t="s">
        <v>351</v>
      </c>
      <c r="B309" s="454">
        <v>5000000</v>
      </c>
      <c r="C309" s="454">
        <v>2514281.38</v>
      </c>
      <c r="D309" s="454">
        <v>2514281.38</v>
      </c>
      <c r="E309" s="515">
        <f t="shared" si="20"/>
        <v>100</v>
      </c>
      <c r="F309" s="86">
        <v>1607</v>
      </c>
      <c r="G309" s="121" t="s">
        <v>209</v>
      </c>
    </row>
    <row r="310" spans="1:12" ht="13.5" thickBot="1" x14ac:dyDescent="0.25">
      <c r="A310" s="244" t="s">
        <v>352</v>
      </c>
      <c r="B310" s="455">
        <v>740000</v>
      </c>
      <c r="C310" s="455">
        <v>724400</v>
      </c>
      <c r="D310" s="455">
        <v>724400</v>
      </c>
      <c r="E310" s="241">
        <f t="shared" si="20"/>
        <v>100</v>
      </c>
      <c r="F310" s="86">
        <v>1608</v>
      </c>
      <c r="G310" s="121" t="s">
        <v>209</v>
      </c>
    </row>
    <row r="311" spans="1:12" ht="13.5" thickTop="1" x14ac:dyDescent="0.2">
      <c r="A311" s="473"/>
      <c r="B311" s="70"/>
      <c r="C311" s="70"/>
      <c r="D311" s="70"/>
      <c r="E311" s="53"/>
      <c r="F311" s="86"/>
      <c r="G311" s="121"/>
    </row>
    <row r="312" spans="1:12" s="7" customFormat="1" ht="15.75" thickBot="1" x14ac:dyDescent="0.3">
      <c r="A312" s="39" t="s">
        <v>217</v>
      </c>
      <c r="B312" s="32"/>
      <c r="C312" s="5"/>
      <c r="D312" s="5"/>
      <c r="E312" s="40" t="s">
        <v>18</v>
      </c>
      <c r="F312" s="83"/>
      <c r="G312" s="57"/>
    </row>
    <row r="313" spans="1:12" s="7" customFormat="1" ht="14.25" thickTop="1" thickBot="1" x14ac:dyDescent="0.25">
      <c r="A313" s="41" t="s">
        <v>5</v>
      </c>
      <c r="B313" s="42" t="s">
        <v>0</v>
      </c>
      <c r="C313" s="43" t="s">
        <v>1</v>
      </c>
      <c r="D313" s="44" t="s">
        <v>4</v>
      </c>
      <c r="E313" s="45" t="s">
        <v>6</v>
      </c>
      <c r="F313" s="83"/>
      <c r="G313" s="57"/>
    </row>
    <row r="314" spans="1:12" s="7" customFormat="1" ht="15.75" thickTop="1" x14ac:dyDescent="0.2">
      <c r="A314" s="46" t="s">
        <v>8</v>
      </c>
      <c r="B314" s="47">
        <f>SUM(B315:B315)</f>
        <v>1000000</v>
      </c>
      <c r="C314" s="47">
        <f>SUM(C315:C315)</f>
        <v>1000000</v>
      </c>
      <c r="D314" s="47">
        <f>SUM(D315:D315)</f>
        <v>0</v>
      </c>
      <c r="E314" s="79">
        <f>D314/C314*100</f>
        <v>0</v>
      </c>
      <c r="F314" s="83"/>
      <c r="G314" s="57"/>
    </row>
    <row r="315" spans="1:12" s="7" customFormat="1" ht="26.25" thickBot="1" x14ac:dyDescent="0.25">
      <c r="A315" s="513" t="s">
        <v>432</v>
      </c>
      <c r="B315" s="137">
        <v>1000000</v>
      </c>
      <c r="C315" s="139">
        <v>1000000</v>
      </c>
      <c r="D315" s="137">
        <v>0</v>
      </c>
      <c r="E315" s="138">
        <f>D315/C315*100</f>
        <v>0</v>
      </c>
      <c r="F315" s="83"/>
      <c r="G315" s="149" t="s">
        <v>35</v>
      </c>
      <c r="I315" s="144" t="s">
        <v>32</v>
      </c>
      <c r="J315" s="145">
        <f>SUM(B285:B296)</f>
        <v>84323000</v>
      </c>
      <c r="K315" s="145">
        <f t="shared" ref="K315:L315" si="21">SUM(C285:C296)</f>
        <v>72034000</v>
      </c>
      <c r="L315" s="145">
        <f t="shared" si="21"/>
        <v>57750602.75</v>
      </c>
    </row>
    <row r="316" spans="1:12" s="7" customFormat="1" ht="13.5" thickTop="1" x14ac:dyDescent="0.2">
      <c r="A316" s="512"/>
      <c r="B316" s="114"/>
      <c r="C316" s="114"/>
      <c r="D316" s="114"/>
      <c r="E316" s="53"/>
      <c r="F316" s="83"/>
      <c r="G316" s="57"/>
      <c r="I316" s="121" t="s">
        <v>34</v>
      </c>
      <c r="J316" s="170">
        <f>SUM(B301:B310)</f>
        <v>12586000</v>
      </c>
      <c r="K316" s="170">
        <f t="shared" ref="K316:L316" si="22">SUM(C301:C310)</f>
        <v>9782209.3999999985</v>
      </c>
      <c r="L316" s="170">
        <f t="shared" si="22"/>
        <v>9782209.3999999985</v>
      </c>
    </row>
    <row r="317" spans="1:12" s="7" customFormat="1" x14ac:dyDescent="0.2">
      <c r="B317" s="495"/>
      <c r="C317" s="94"/>
      <c r="D317" s="94"/>
      <c r="E317" s="53"/>
      <c r="F317" s="83"/>
      <c r="G317" s="57"/>
      <c r="I317" s="149" t="s">
        <v>35</v>
      </c>
      <c r="J317" s="194">
        <f>B315</f>
        <v>1000000</v>
      </c>
      <c r="K317" s="194">
        <f>C315</f>
        <v>1000000</v>
      </c>
      <c r="L317" s="194">
        <f>D315</f>
        <v>0</v>
      </c>
    </row>
    <row r="318" spans="1:12" s="6" customFormat="1" ht="18.75" thickBot="1" x14ac:dyDescent="0.3">
      <c r="A318" s="63" t="s">
        <v>22</v>
      </c>
      <c r="B318" s="492">
        <f>SUM(B300,B284,B314)</f>
        <v>97909000</v>
      </c>
      <c r="C318" s="492">
        <f t="shared" ref="C318:D318" si="23">SUM(C300,C284,C314)</f>
        <v>82816209.400000006</v>
      </c>
      <c r="D318" s="492">
        <f t="shared" si="23"/>
        <v>67532812.150000006</v>
      </c>
      <c r="E318" s="65">
        <f>D318/C318*100</f>
        <v>81.545403537873113</v>
      </c>
      <c r="F318" s="106"/>
      <c r="G318" s="66"/>
      <c r="J318" s="124">
        <f>SUM(J315:J317)</f>
        <v>97909000</v>
      </c>
      <c r="K318" s="124">
        <f t="shared" ref="K318:L318" si="24">SUM(K315:K317)</f>
        <v>82816209.400000006</v>
      </c>
      <c r="L318" s="124">
        <f t="shared" si="24"/>
        <v>67532812.150000006</v>
      </c>
    </row>
    <row r="319" spans="1:12" s="6" customFormat="1" ht="18.75" thickTop="1" x14ac:dyDescent="0.25">
      <c r="A319" s="153"/>
      <c r="B319" s="496"/>
      <c r="C319" s="154"/>
      <c r="D319" s="154"/>
      <c r="E319" s="155"/>
      <c r="F319" s="106"/>
      <c r="G319" s="66"/>
    </row>
    <row r="320" spans="1:12" s="7" customFormat="1" x14ac:dyDescent="0.2">
      <c r="B320" s="494"/>
      <c r="E320" s="53"/>
      <c r="F320" s="83"/>
      <c r="G320" s="57"/>
    </row>
    <row r="321" spans="1:8" ht="15" customHeight="1" x14ac:dyDescent="0.25">
      <c r="A321" s="36" t="s">
        <v>59</v>
      </c>
      <c r="B321" s="32"/>
    </row>
    <row r="322" spans="1:8" ht="15" customHeight="1" thickBot="1" x14ac:dyDescent="0.3">
      <c r="A322" s="39" t="s">
        <v>125</v>
      </c>
      <c r="B322" s="32"/>
      <c r="E322" s="40" t="s">
        <v>18</v>
      </c>
    </row>
    <row r="323" spans="1:8" ht="14.25" thickTop="1" thickBot="1" x14ac:dyDescent="0.25">
      <c r="A323" s="41" t="s">
        <v>5</v>
      </c>
      <c r="B323" s="42" t="s">
        <v>0</v>
      </c>
      <c r="C323" s="43" t="s">
        <v>1</v>
      </c>
      <c r="D323" s="44" t="s">
        <v>4</v>
      </c>
      <c r="E323" s="45" t="s">
        <v>6</v>
      </c>
    </row>
    <row r="324" spans="1:8" ht="15.75" thickTop="1" x14ac:dyDescent="0.25">
      <c r="A324" s="46" t="s">
        <v>11</v>
      </c>
      <c r="B324" s="69">
        <f>SUM(B325:B351)</f>
        <v>95209000</v>
      </c>
      <c r="C324" s="69">
        <f t="shared" ref="C324:D324" si="25">SUM(C325:C351)</f>
        <v>68765032.400000006</v>
      </c>
      <c r="D324" s="69">
        <f t="shared" si="25"/>
        <v>54274415.209999993</v>
      </c>
      <c r="E324" s="48">
        <f>D324/C324*100</f>
        <v>78.927346233606926</v>
      </c>
      <c r="F324" s="37"/>
      <c r="H324" s="100"/>
    </row>
    <row r="325" spans="1:8" s="205" customFormat="1" x14ac:dyDescent="0.2">
      <c r="A325" s="522" t="s">
        <v>167</v>
      </c>
      <c r="B325" s="630">
        <v>500000</v>
      </c>
      <c r="C325" s="523">
        <v>0</v>
      </c>
      <c r="D325" s="524">
        <v>0</v>
      </c>
      <c r="E325" s="525">
        <v>0</v>
      </c>
      <c r="F325" s="200">
        <v>100029</v>
      </c>
      <c r="G325" s="201" t="s">
        <v>32</v>
      </c>
      <c r="H325" s="204"/>
    </row>
    <row r="326" spans="1:8" s="205" customFormat="1" x14ac:dyDescent="0.2">
      <c r="A326" s="245" t="s">
        <v>146</v>
      </c>
      <c r="B326" s="497">
        <v>300000</v>
      </c>
      <c r="C326" s="247">
        <v>0</v>
      </c>
      <c r="D326" s="246">
        <v>0</v>
      </c>
      <c r="E326" s="248">
        <v>0</v>
      </c>
      <c r="F326" s="200">
        <v>100046</v>
      </c>
      <c r="G326" s="201" t="s">
        <v>32</v>
      </c>
      <c r="H326" s="204"/>
    </row>
    <row r="327" spans="1:8" s="205" customFormat="1" x14ac:dyDescent="0.2">
      <c r="A327" s="249" t="s">
        <v>147</v>
      </c>
      <c r="B327" s="497">
        <v>1500000</v>
      </c>
      <c r="C327" s="247">
        <v>1095160</v>
      </c>
      <c r="D327" s="246">
        <v>295040</v>
      </c>
      <c r="E327" s="248">
        <f>D327/C327*100</f>
        <v>26.940355747105443</v>
      </c>
      <c r="F327" s="200">
        <v>100048</v>
      </c>
      <c r="G327" s="201" t="s">
        <v>32</v>
      </c>
      <c r="H327" s="204"/>
    </row>
    <row r="328" spans="1:8" s="205" customFormat="1" x14ac:dyDescent="0.2">
      <c r="A328" s="249" t="s">
        <v>505</v>
      </c>
      <c r="B328" s="497">
        <v>0</v>
      </c>
      <c r="C328" s="247">
        <v>73246.14</v>
      </c>
      <c r="D328" s="246">
        <v>73246.14</v>
      </c>
      <c r="E328" s="248">
        <f>D328/C328*100</f>
        <v>100</v>
      </c>
      <c r="F328" s="200">
        <v>100060</v>
      </c>
      <c r="G328" s="201" t="s">
        <v>32</v>
      </c>
      <c r="H328" s="204"/>
    </row>
    <row r="329" spans="1:8" s="205" customFormat="1" x14ac:dyDescent="0.2">
      <c r="A329" s="249" t="s">
        <v>292</v>
      </c>
      <c r="B329" s="497">
        <v>0</v>
      </c>
      <c r="C329" s="247">
        <v>800540.56</v>
      </c>
      <c r="D329" s="246">
        <v>800540.56</v>
      </c>
      <c r="E329" s="248">
        <f>D329/C329*100</f>
        <v>100</v>
      </c>
      <c r="F329" s="200">
        <v>100107</v>
      </c>
      <c r="G329" s="201" t="s">
        <v>32</v>
      </c>
      <c r="H329" s="204"/>
    </row>
    <row r="330" spans="1:8" s="205" customFormat="1" x14ac:dyDescent="0.2">
      <c r="A330" s="249" t="s">
        <v>148</v>
      </c>
      <c r="B330" s="497">
        <v>100000</v>
      </c>
      <c r="C330" s="247">
        <v>0</v>
      </c>
      <c r="D330" s="246">
        <v>0</v>
      </c>
      <c r="E330" s="248">
        <v>0</v>
      </c>
      <c r="F330" s="200">
        <v>100109</v>
      </c>
      <c r="G330" s="201" t="s">
        <v>32</v>
      </c>
      <c r="H330" s="204"/>
    </row>
    <row r="331" spans="1:8" s="205" customFormat="1" x14ac:dyDescent="0.2">
      <c r="A331" s="250" t="s">
        <v>97</v>
      </c>
      <c r="B331" s="497">
        <v>2000000</v>
      </c>
      <c r="C331" s="247">
        <v>1579096.3</v>
      </c>
      <c r="D331" s="251">
        <v>0</v>
      </c>
      <c r="E331" s="248">
        <f t="shared" ref="E331:E332" si="26">D331/C331*100</f>
        <v>0</v>
      </c>
      <c r="F331" s="206">
        <v>100130</v>
      </c>
      <c r="G331" s="201" t="s">
        <v>32</v>
      </c>
      <c r="H331" s="204"/>
    </row>
    <row r="332" spans="1:8" s="205" customFormat="1" x14ac:dyDescent="0.2">
      <c r="A332" s="250" t="s">
        <v>169</v>
      </c>
      <c r="B332" s="497">
        <v>605000</v>
      </c>
      <c r="C332" s="246">
        <v>1005000</v>
      </c>
      <c r="D332" s="251">
        <v>977099.2</v>
      </c>
      <c r="E332" s="248">
        <f t="shared" si="26"/>
        <v>97.223800995024874</v>
      </c>
      <c r="F332" s="206">
        <v>100646</v>
      </c>
      <c r="G332" s="201" t="s">
        <v>32</v>
      </c>
      <c r="H332" s="204"/>
    </row>
    <row r="333" spans="1:8" s="205" customFormat="1" x14ac:dyDescent="0.2">
      <c r="A333" s="245" t="s">
        <v>46</v>
      </c>
      <c r="B333" s="497">
        <v>800000</v>
      </c>
      <c r="C333" s="246">
        <v>108</v>
      </c>
      <c r="D333" s="246">
        <v>108</v>
      </c>
      <c r="E333" s="248">
        <f>D333/C333*100</f>
        <v>100</v>
      </c>
      <c r="F333" s="200">
        <v>100674</v>
      </c>
      <c r="G333" s="201" t="s">
        <v>32</v>
      </c>
      <c r="H333" s="204"/>
    </row>
    <row r="334" spans="1:8" s="205" customFormat="1" x14ac:dyDescent="0.2">
      <c r="A334" s="245" t="s">
        <v>47</v>
      </c>
      <c r="B334" s="497">
        <v>136000</v>
      </c>
      <c r="C334" s="246">
        <v>136000</v>
      </c>
      <c r="D334" s="246">
        <v>0</v>
      </c>
      <c r="E334" s="248">
        <f>D334/C334*100</f>
        <v>0</v>
      </c>
      <c r="F334" s="200">
        <v>100680</v>
      </c>
      <c r="G334" s="201" t="s">
        <v>32</v>
      </c>
      <c r="H334" s="204"/>
    </row>
    <row r="335" spans="1:8" s="205" customFormat="1" x14ac:dyDescent="0.2">
      <c r="A335" s="245" t="s">
        <v>506</v>
      </c>
      <c r="B335" s="497">
        <v>270000</v>
      </c>
      <c r="C335" s="246">
        <v>270000</v>
      </c>
      <c r="D335" s="246">
        <v>0</v>
      </c>
      <c r="E335" s="248">
        <f>D335/C335*100</f>
        <v>0</v>
      </c>
      <c r="F335" s="200">
        <v>100804</v>
      </c>
      <c r="G335" s="201" t="s">
        <v>32</v>
      </c>
      <c r="H335" s="204"/>
    </row>
    <row r="336" spans="1:8" s="205" customFormat="1" x14ac:dyDescent="0.2">
      <c r="A336" s="250" t="s">
        <v>48</v>
      </c>
      <c r="B336" s="497">
        <v>1194000</v>
      </c>
      <c r="C336" s="247">
        <v>1194000</v>
      </c>
      <c r="D336" s="251">
        <v>64528.5</v>
      </c>
      <c r="E336" s="248">
        <f t="shared" ref="E336:E340" si="27">D336/C336*100</f>
        <v>5.4043969849246229</v>
      </c>
      <c r="F336" s="206">
        <v>100907</v>
      </c>
      <c r="G336" s="201" t="s">
        <v>32</v>
      </c>
      <c r="H336" s="204"/>
    </row>
    <row r="337" spans="1:9" s="205" customFormat="1" x14ac:dyDescent="0.2">
      <c r="A337" s="250" t="s">
        <v>49</v>
      </c>
      <c r="B337" s="497">
        <v>1000000</v>
      </c>
      <c r="C337" s="247">
        <v>1000000</v>
      </c>
      <c r="D337" s="251">
        <v>35574</v>
      </c>
      <c r="E337" s="248">
        <f t="shared" si="27"/>
        <v>3.5574000000000003</v>
      </c>
      <c r="F337" s="206">
        <v>100908</v>
      </c>
      <c r="G337" s="201" t="s">
        <v>32</v>
      </c>
      <c r="H337" s="204"/>
    </row>
    <row r="338" spans="1:9" s="205" customFormat="1" x14ac:dyDescent="0.2">
      <c r="A338" s="250" t="s">
        <v>507</v>
      </c>
      <c r="B338" s="497">
        <v>1000000</v>
      </c>
      <c r="C338" s="246">
        <v>0</v>
      </c>
      <c r="D338" s="251">
        <v>0</v>
      </c>
      <c r="E338" s="248">
        <v>0</v>
      </c>
      <c r="F338" s="206">
        <v>100933</v>
      </c>
      <c r="G338" s="201" t="s">
        <v>32</v>
      </c>
      <c r="H338" s="204"/>
    </row>
    <row r="339" spans="1:9" s="205" customFormat="1" x14ac:dyDescent="0.2">
      <c r="A339" s="637" t="s">
        <v>60</v>
      </c>
      <c r="B339" s="497">
        <v>16069000</v>
      </c>
      <c r="C339" s="246">
        <v>8825706.4900000002</v>
      </c>
      <c r="D339" s="251">
        <v>7030937.1399999997</v>
      </c>
      <c r="E339" s="248">
        <f t="shared" si="27"/>
        <v>79.664298240219395</v>
      </c>
      <c r="F339" s="206">
        <v>100959</v>
      </c>
      <c r="G339" s="201" t="s">
        <v>32</v>
      </c>
      <c r="H339" s="204"/>
    </row>
    <row r="340" spans="1:9" s="205" customFormat="1" x14ac:dyDescent="0.2">
      <c r="A340" s="638"/>
      <c r="B340" s="497">
        <v>36000000</v>
      </c>
      <c r="C340" s="246">
        <v>43243293.509999998</v>
      </c>
      <c r="D340" s="251">
        <v>43243293.509999998</v>
      </c>
      <c r="E340" s="248">
        <f t="shared" si="27"/>
        <v>100</v>
      </c>
      <c r="F340" s="206">
        <v>100959</v>
      </c>
      <c r="G340" s="578" t="s">
        <v>379</v>
      </c>
      <c r="H340" s="204"/>
      <c r="I340" s="580"/>
    </row>
    <row r="341" spans="1:9" s="205" customFormat="1" x14ac:dyDescent="0.2">
      <c r="A341" s="250" t="s">
        <v>61</v>
      </c>
      <c r="B341" s="497">
        <v>3386000</v>
      </c>
      <c r="C341" s="246">
        <v>0</v>
      </c>
      <c r="D341" s="251">
        <v>0</v>
      </c>
      <c r="E341" s="248">
        <v>0</v>
      </c>
      <c r="F341" s="206">
        <v>100960</v>
      </c>
      <c r="G341" s="201" t="s">
        <v>32</v>
      </c>
    </row>
    <row r="342" spans="1:9" s="205" customFormat="1" x14ac:dyDescent="0.2">
      <c r="A342" s="250" t="s">
        <v>62</v>
      </c>
      <c r="B342" s="497">
        <v>992000</v>
      </c>
      <c r="C342" s="246">
        <v>992000</v>
      </c>
      <c r="D342" s="251">
        <v>0</v>
      </c>
      <c r="E342" s="248">
        <f t="shared" ref="E342:E351" si="28">D342/C342*100</f>
        <v>0</v>
      </c>
      <c r="F342" s="206">
        <v>100961</v>
      </c>
      <c r="G342" s="201" t="s">
        <v>32</v>
      </c>
    </row>
    <row r="343" spans="1:9" s="205" customFormat="1" x14ac:dyDescent="0.2">
      <c r="A343" s="250" t="s">
        <v>176</v>
      </c>
      <c r="B343" s="497">
        <v>4850000</v>
      </c>
      <c r="C343" s="246">
        <v>2056381.4</v>
      </c>
      <c r="D343" s="251">
        <v>63525</v>
      </c>
      <c r="E343" s="248">
        <f t="shared" si="28"/>
        <v>3.0891642960785388</v>
      </c>
      <c r="F343" s="206">
        <v>101004</v>
      </c>
      <c r="G343" s="201" t="s">
        <v>32</v>
      </c>
    </row>
    <row r="344" spans="1:9" s="205" customFormat="1" x14ac:dyDescent="0.2">
      <c r="A344" s="250" t="s">
        <v>177</v>
      </c>
      <c r="B344" s="497">
        <v>18000000</v>
      </c>
      <c r="C344" s="246">
        <v>2801500</v>
      </c>
      <c r="D344" s="251">
        <v>1195577.5</v>
      </c>
      <c r="E344" s="248">
        <f t="shared" si="28"/>
        <v>42.67633410672854</v>
      </c>
      <c r="F344" s="206">
        <v>101007</v>
      </c>
      <c r="G344" s="201" t="s">
        <v>32</v>
      </c>
    </row>
    <row r="345" spans="1:9" s="205" customFormat="1" x14ac:dyDescent="0.2">
      <c r="A345" s="250" t="s">
        <v>360</v>
      </c>
      <c r="B345" s="497">
        <v>2326000</v>
      </c>
      <c r="C345" s="246">
        <v>2326000</v>
      </c>
      <c r="D345" s="251">
        <v>485265.66</v>
      </c>
      <c r="E345" s="248">
        <f t="shared" si="28"/>
        <v>20.862668099742045</v>
      </c>
      <c r="F345" s="206">
        <v>101014</v>
      </c>
      <c r="G345" s="201" t="s">
        <v>32</v>
      </c>
    </row>
    <row r="346" spans="1:9" s="205" customFormat="1" x14ac:dyDescent="0.2">
      <c r="A346" s="250" t="s">
        <v>98</v>
      </c>
      <c r="B346" s="497">
        <v>373000</v>
      </c>
      <c r="C346" s="246">
        <v>373000</v>
      </c>
      <c r="D346" s="251">
        <v>9680</v>
      </c>
      <c r="E346" s="248">
        <f t="shared" si="28"/>
        <v>2.5951742627345844</v>
      </c>
      <c r="F346" s="206">
        <v>101081</v>
      </c>
      <c r="G346" s="201" t="s">
        <v>32</v>
      </c>
      <c r="H346" s="202"/>
    </row>
    <row r="347" spans="1:9" s="205" customFormat="1" x14ac:dyDescent="0.2">
      <c r="A347" s="250" t="s">
        <v>99</v>
      </c>
      <c r="B347" s="497">
        <v>608000</v>
      </c>
      <c r="C347" s="246">
        <v>608000</v>
      </c>
      <c r="D347" s="251">
        <v>0</v>
      </c>
      <c r="E347" s="248">
        <f t="shared" si="28"/>
        <v>0</v>
      </c>
      <c r="F347" s="206">
        <v>101083</v>
      </c>
      <c r="G347" s="201" t="s">
        <v>32</v>
      </c>
      <c r="H347" s="202"/>
    </row>
    <row r="348" spans="1:9" s="205" customFormat="1" x14ac:dyDescent="0.2">
      <c r="A348" s="603" t="s">
        <v>361</v>
      </c>
      <c r="B348" s="631">
        <v>1000000</v>
      </c>
      <c r="C348" s="604">
        <v>0</v>
      </c>
      <c r="D348" s="605">
        <v>0</v>
      </c>
      <c r="E348" s="248">
        <v>0</v>
      </c>
      <c r="F348" s="206">
        <v>101190</v>
      </c>
      <c r="G348" s="201" t="s">
        <v>32</v>
      </c>
      <c r="H348" s="202"/>
    </row>
    <row r="349" spans="1:9" s="205" customFormat="1" x14ac:dyDescent="0.2">
      <c r="A349" s="250" t="s">
        <v>293</v>
      </c>
      <c r="B349" s="255">
        <v>200000</v>
      </c>
      <c r="C349" s="247">
        <v>0</v>
      </c>
      <c r="D349" s="606">
        <v>0</v>
      </c>
      <c r="E349" s="248">
        <v>0</v>
      </c>
      <c r="F349" s="206">
        <v>101306</v>
      </c>
      <c r="G349" s="201" t="s">
        <v>32</v>
      </c>
      <c r="H349" s="202"/>
    </row>
    <row r="350" spans="1:9" s="205" customFormat="1" x14ac:dyDescent="0.2">
      <c r="A350" s="250" t="s">
        <v>508</v>
      </c>
      <c r="B350" s="255">
        <v>2000000</v>
      </c>
      <c r="C350" s="247">
        <v>0</v>
      </c>
      <c r="D350" s="606">
        <v>0</v>
      </c>
      <c r="E350" s="248">
        <v>0</v>
      </c>
      <c r="F350" s="206">
        <v>101418</v>
      </c>
      <c r="G350" s="201" t="s">
        <v>32</v>
      </c>
      <c r="H350" s="202"/>
    </row>
    <row r="351" spans="1:9" s="205" customFormat="1" ht="13.5" thickBot="1" x14ac:dyDescent="0.25">
      <c r="A351" s="252" t="s">
        <v>509</v>
      </c>
      <c r="B351" s="455">
        <v>0</v>
      </c>
      <c r="C351" s="607">
        <v>386000</v>
      </c>
      <c r="D351" s="608">
        <v>0</v>
      </c>
      <c r="E351" s="253">
        <f t="shared" si="28"/>
        <v>0</v>
      </c>
      <c r="F351" s="206">
        <v>101443</v>
      </c>
      <c r="G351" s="201" t="s">
        <v>32</v>
      </c>
      <c r="H351" s="202"/>
    </row>
    <row r="352" spans="1:9" s="212" customFormat="1" ht="13.5" thickTop="1" x14ac:dyDescent="0.2">
      <c r="B352" s="494"/>
      <c r="E352" s="213"/>
      <c r="F352" s="214"/>
      <c r="G352" s="215"/>
      <c r="H352" s="215"/>
    </row>
    <row r="353" spans="1:12" s="212" customFormat="1" ht="15.75" thickBot="1" x14ac:dyDescent="0.25">
      <c r="A353" s="216" t="s">
        <v>51</v>
      </c>
      <c r="B353" s="32"/>
      <c r="C353" s="203"/>
      <c r="D353" s="203"/>
      <c r="E353" s="217" t="s">
        <v>18</v>
      </c>
      <c r="F353" s="214"/>
      <c r="G353" s="215"/>
      <c r="H353" s="215"/>
    </row>
    <row r="354" spans="1:12" s="212" customFormat="1" ht="14.25" thickTop="1" thickBot="1" x14ac:dyDescent="0.25">
      <c r="A354" s="207" t="s">
        <v>5</v>
      </c>
      <c r="B354" s="42" t="s">
        <v>0</v>
      </c>
      <c r="C354" s="209" t="s">
        <v>1</v>
      </c>
      <c r="D354" s="210" t="s">
        <v>4</v>
      </c>
      <c r="E354" s="211" t="s">
        <v>6</v>
      </c>
      <c r="F354" s="214"/>
      <c r="G354" s="215"/>
      <c r="H354" s="215"/>
    </row>
    <row r="355" spans="1:12" s="212" customFormat="1" ht="15.75" thickTop="1" x14ac:dyDescent="0.2">
      <c r="A355" s="218" t="s">
        <v>11</v>
      </c>
      <c r="B355" s="498">
        <f>SUM(B356:B358)</f>
        <v>209978000</v>
      </c>
      <c r="C355" s="498">
        <f t="shared" ref="C355:D355" si="29">SUM(C356:C358)</f>
        <v>249706548.30000001</v>
      </c>
      <c r="D355" s="498">
        <f t="shared" si="29"/>
        <v>249706548.30000001</v>
      </c>
      <c r="E355" s="219">
        <f t="shared" ref="E355:E358" si="30">D355/C355*100</f>
        <v>100</v>
      </c>
      <c r="F355" s="214"/>
      <c r="G355" s="215"/>
      <c r="H355" s="215"/>
    </row>
    <row r="356" spans="1:12" s="212" customFormat="1" x14ac:dyDescent="0.2">
      <c r="A356" s="639" t="s">
        <v>354</v>
      </c>
      <c r="B356" s="514">
        <v>0</v>
      </c>
      <c r="C356" s="526">
        <f>16265984.8</f>
        <v>16265984.800000001</v>
      </c>
      <c r="D356" s="526">
        <f>16265984.8</f>
        <v>16265984.800000001</v>
      </c>
      <c r="E356" s="525">
        <f t="shared" si="30"/>
        <v>100</v>
      </c>
      <c r="F356" s="221" t="s">
        <v>52</v>
      </c>
      <c r="G356" s="220" t="s">
        <v>251</v>
      </c>
      <c r="H356" s="222"/>
    </row>
    <row r="357" spans="1:12" s="212" customFormat="1" x14ac:dyDescent="0.2">
      <c r="A357" s="639"/>
      <c r="B357" s="540">
        <v>182712000</v>
      </c>
      <c r="C357" s="621">
        <f>200614647.2</f>
        <v>200614647.19999999</v>
      </c>
      <c r="D357" s="621">
        <f>200614647.2</f>
        <v>200614647.19999999</v>
      </c>
      <c r="E357" s="622">
        <f t="shared" si="30"/>
        <v>100</v>
      </c>
      <c r="F357" s="221" t="s">
        <v>52</v>
      </c>
      <c r="G357" s="220" t="s">
        <v>252</v>
      </c>
    </row>
    <row r="358" spans="1:12" s="212" customFormat="1" ht="13.5" thickBot="1" x14ac:dyDescent="0.25">
      <c r="A358" s="640"/>
      <c r="B358" s="632">
        <v>27266000</v>
      </c>
      <c r="C358" s="566">
        <v>32825916.300000001</v>
      </c>
      <c r="D358" s="566">
        <v>32825916.300000001</v>
      </c>
      <c r="E358" s="371">
        <f t="shared" si="30"/>
        <v>100</v>
      </c>
      <c r="F358" s="349">
        <v>1600</v>
      </c>
      <c r="G358" s="551" t="s">
        <v>362</v>
      </c>
      <c r="H358" s="222"/>
    </row>
    <row r="359" spans="1:12" s="212" customFormat="1" ht="13.5" thickTop="1" x14ac:dyDescent="0.2">
      <c r="E359" s="213"/>
      <c r="F359" s="221"/>
      <c r="G359" s="220"/>
      <c r="H359" s="215"/>
    </row>
    <row r="360" spans="1:12" s="203" customFormat="1" ht="15" customHeight="1" thickBot="1" x14ac:dyDescent="0.3">
      <c r="A360" s="223" t="s">
        <v>217</v>
      </c>
      <c r="E360" s="224" t="s">
        <v>18</v>
      </c>
      <c r="G360" s="225"/>
      <c r="H360" s="226"/>
    </row>
    <row r="361" spans="1:12" s="203" customFormat="1" ht="18" customHeight="1" thickTop="1" thickBot="1" x14ac:dyDescent="0.25">
      <c r="A361" s="207" t="s">
        <v>5</v>
      </c>
      <c r="B361" s="208" t="s">
        <v>0</v>
      </c>
      <c r="C361" s="209" t="s">
        <v>1</v>
      </c>
      <c r="D361" s="210" t="s">
        <v>4</v>
      </c>
      <c r="E361" s="211" t="s">
        <v>6</v>
      </c>
      <c r="G361" s="225"/>
    </row>
    <row r="362" spans="1:12" s="203" customFormat="1" ht="15.75" thickTop="1" x14ac:dyDescent="0.2">
      <c r="A362" s="227" t="s">
        <v>11</v>
      </c>
      <c r="B362" s="228">
        <f>SUM(B363:B363)</f>
        <v>1670000</v>
      </c>
      <c r="C362" s="228">
        <f>SUM(C363:C363)</f>
        <v>1736172</v>
      </c>
      <c r="D362" s="228">
        <f>SUM(D363:D363)</f>
        <v>683915.79</v>
      </c>
      <c r="E362" s="229">
        <f>D362/C362*100</f>
        <v>39.392167941885944</v>
      </c>
      <c r="F362" s="230" t="s">
        <v>2</v>
      </c>
      <c r="G362" s="231" t="s">
        <v>35</v>
      </c>
      <c r="I362" s="116" t="s">
        <v>32</v>
      </c>
      <c r="J362" s="125">
        <f>SUM(B325:B351)-J363</f>
        <v>59209000</v>
      </c>
      <c r="K362" s="125">
        <f t="shared" ref="K362:L362" si="31">SUM(C325:C351)-K363</f>
        <v>25521738.890000008</v>
      </c>
      <c r="L362" s="125">
        <f t="shared" si="31"/>
        <v>11031121.699999996</v>
      </c>
    </row>
    <row r="363" spans="1:12" s="81" customFormat="1" ht="13.5" thickBot="1" x14ac:dyDescent="0.25">
      <c r="A363" s="183" t="s">
        <v>37</v>
      </c>
      <c r="B363" s="137">
        <v>1670000</v>
      </c>
      <c r="C363" s="141">
        <v>1736172</v>
      </c>
      <c r="D363" s="141">
        <f>601743.79+82172</f>
        <v>683915.79</v>
      </c>
      <c r="E363" s="138">
        <f>D363/C363*100</f>
        <v>39.392167941885944</v>
      </c>
      <c r="F363" s="120" t="s">
        <v>113</v>
      </c>
      <c r="G363" s="99"/>
      <c r="J363" s="581">
        <f>B340</f>
        <v>36000000</v>
      </c>
      <c r="K363" s="581">
        <f t="shared" ref="K363:L363" si="32">C340</f>
        <v>43243293.509999998</v>
      </c>
      <c r="L363" s="581">
        <f t="shared" si="32"/>
        <v>43243293.509999998</v>
      </c>
    </row>
    <row r="364" spans="1:12" s="7" customFormat="1" ht="13.5" thickTop="1" x14ac:dyDescent="0.2">
      <c r="E364" s="53"/>
      <c r="F364" s="83"/>
      <c r="G364" s="57"/>
      <c r="I364" s="121" t="s">
        <v>34</v>
      </c>
      <c r="J364" s="170">
        <f>SUM(B356:B357)</f>
        <v>182712000</v>
      </c>
      <c r="K364" s="170">
        <f t="shared" ref="K364:L364" si="33">SUM(C356:C357)</f>
        <v>216880632</v>
      </c>
      <c r="L364" s="170">
        <f t="shared" si="33"/>
        <v>216880632</v>
      </c>
    </row>
    <row r="365" spans="1:12" s="7" customFormat="1" x14ac:dyDescent="0.2">
      <c r="E365" s="53"/>
      <c r="F365" s="83"/>
      <c r="G365" s="57"/>
      <c r="J365" s="581">
        <f>B358</f>
        <v>27266000</v>
      </c>
      <c r="K365" s="581">
        <f t="shared" ref="K365:L365" si="34">C358</f>
        <v>32825916.300000001</v>
      </c>
      <c r="L365" s="581">
        <f t="shared" si="34"/>
        <v>32825916.300000001</v>
      </c>
    </row>
    <row r="366" spans="1:12" s="6" customFormat="1" ht="18.75" thickBot="1" x14ac:dyDescent="0.3">
      <c r="A366" s="63" t="s">
        <v>24</v>
      </c>
      <c r="B366" s="64">
        <f>SUM(B324,B355,B362)</f>
        <v>306857000</v>
      </c>
      <c r="C366" s="64">
        <f t="shared" ref="C366:D366" si="35">SUM(C324,C355,C362)</f>
        <v>320207752.70000005</v>
      </c>
      <c r="D366" s="64">
        <f t="shared" si="35"/>
        <v>304664879.30000001</v>
      </c>
      <c r="E366" s="65">
        <f>D366/C366*100</f>
        <v>95.14600340905487</v>
      </c>
      <c r="F366" s="105"/>
      <c r="G366" s="66"/>
      <c r="I366" s="231" t="s">
        <v>35</v>
      </c>
      <c r="J366" s="549">
        <f>B363</f>
        <v>1670000</v>
      </c>
      <c r="K366" s="549">
        <f>C363</f>
        <v>1736172</v>
      </c>
      <c r="L366" s="549">
        <f>D363</f>
        <v>683915.79</v>
      </c>
    </row>
    <row r="367" spans="1:12" s="7" customFormat="1" ht="13.5" thickTop="1" x14ac:dyDescent="0.2">
      <c r="E367" s="53"/>
      <c r="F367" s="83"/>
      <c r="G367" s="57"/>
      <c r="H367" s="57"/>
      <c r="I367" s="116"/>
      <c r="J367" s="169">
        <f>SUM(J362:J366)</f>
        <v>306857000</v>
      </c>
      <c r="K367" s="169">
        <f>SUM(K362:K366)</f>
        <v>320207752.69999999</v>
      </c>
      <c r="L367" s="169">
        <f>SUM(L362:L366)</f>
        <v>304664879.30000001</v>
      </c>
    </row>
    <row r="368" spans="1:12" s="7" customFormat="1" x14ac:dyDescent="0.2">
      <c r="E368" s="53"/>
      <c r="F368" s="83"/>
      <c r="G368" s="57"/>
    </row>
    <row r="369" spans="1:8" s="7" customFormat="1" x14ac:dyDescent="0.2">
      <c r="E369" s="53"/>
      <c r="F369" s="83"/>
      <c r="G369" s="57"/>
    </row>
    <row r="370" spans="1:8" ht="15" customHeight="1" x14ac:dyDescent="0.25">
      <c r="A370" s="36" t="s">
        <v>30</v>
      </c>
    </row>
    <row r="371" spans="1:8" ht="15" customHeight="1" thickBot="1" x14ac:dyDescent="0.3">
      <c r="A371" s="39" t="s">
        <v>125</v>
      </c>
      <c r="E371" s="40" t="s">
        <v>18</v>
      </c>
    </row>
    <row r="372" spans="1:8" ht="14.25" thickTop="1" thickBot="1" x14ac:dyDescent="0.25">
      <c r="A372" s="41" t="s">
        <v>5</v>
      </c>
      <c r="B372" s="42" t="s">
        <v>0</v>
      </c>
      <c r="C372" s="43" t="s">
        <v>1</v>
      </c>
      <c r="D372" s="44" t="s">
        <v>4</v>
      </c>
      <c r="E372" s="45" t="s">
        <v>6</v>
      </c>
    </row>
    <row r="373" spans="1:8" ht="15.75" thickTop="1" x14ac:dyDescent="0.2">
      <c r="A373" s="46" t="s">
        <v>10</v>
      </c>
      <c r="B373" s="69">
        <f>SUM(B374:B388)</f>
        <v>123188000</v>
      </c>
      <c r="C373" s="69">
        <f t="shared" ref="C373:D373" si="36">SUM(C374:C388)</f>
        <v>58719099</v>
      </c>
      <c r="D373" s="69">
        <f t="shared" si="36"/>
        <v>46671339.979999997</v>
      </c>
      <c r="E373" s="79">
        <f t="shared" ref="E373:E388" si="37">D373/C373*100</f>
        <v>79.482384394215572</v>
      </c>
      <c r="F373" s="37"/>
    </row>
    <row r="374" spans="1:8" x14ac:dyDescent="0.2">
      <c r="A374" s="520" t="s">
        <v>102</v>
      </c>
      <c r="B374" s="527">
        <v>0</v>
      </c>
      <c r="C374" s="521">
        <v>416130.8</v>
      </c>
      <c r="D374" s="521">
        <v>233070.8</v>
      </c>
      <c r="E374" s="515">
        <f t="shared" si="37"/>
        <v>56.009024085696133</v>
      </c>
      <c r="F374" s="86">
        <v>100299</v>
      </c>
      <c r="G374" s="116" t="s">
        <v>32</v>
      </c>
    </row>
    <row r="375" spans="1:8" x14ac:dyDescent="0.2">
      <c r="A375" s="238" t="s">
        <v>294</v>
      </c>
      <c r="B375" s="242">
        <v>8000000</v>
      </c>
      <c r="C375" s="242">
        <v>12000000</v>
      </c>
      <c r="D375" s="242">
        <v>10751838.57</v>
      </c>
      <c r="E375" s="236">
        <f t="shared" si="37"/>
        <v>89.598654750000009</v>
      </c>
      <c r="F375" s="143">
        <v>100669</v>
      </c>
      <c r="G375" s="116" t="s">
        <v>32</v>
      </c>
    </row>
    <row r="376" spans="1:8" x14ac:dyDescent="0.2">
      <c r="A376" s="238" t="s">
        <v>104</v>
      </c>
      <c r="B376" s="242">
        <v>60000000</v>
      </c>
      <c r="C376" s="242">
        <v>6922387.1900000004</v>
      </c>
      <c r="D376" s="242">
        <v>2823564.8</v>
      </c>
      <c r="E376" s="236">
        <f t="shared" si="37"/>
        <v>40.788888608815299</v>
      </c>
      <c r="F376" s="143">
        <v>101093</v>
      </c>
      <c r="G376" s="116" t="s">
        <v>32</v>
      </c>
    </row>
    <row r="377" spans="1:8" s="97" customFormat="1" ht="25.5" x14ac:dyDescent="0.2">
      <c r="A377" s="238" t="s">
        <v>103</v>
      </c>
      <c r="B377" s="242">
        <v>4752000</v>
      </c>
      <c r="C377" s="242">
        <v>875775</v>
      </c>
      <c r="D377" s="242">
        <v>0</v>
      </c>
      <c r="E377" s="236">
        <f t="shared" si="37"/>
        <v>0</v>
      </c>
      <c r="F377" s="143">
        <v>101125</v>
      </c>
      <c r="G377" s="144" t="s">
        <v>32</v>
      </c>
      <c r="H377" s="96"/>
    </row>
    <row r="378" spans="1:8" s="97" customFormat="1" x14ac:dyDescent="0.2">
      <c r="A378" s="238" t="s">
        <v>178</v>
      </c>
      <c r="B378" s="242">
        <v>18286000</v>
      </c>
      <c r="C378" s="242">
        <v>568240</v>
      </c>
      <c r="D378" s="242">
        <v>31460</v>
      </c>
      <c r="E378" s="236">
        <f t="shared" si="37"/>
        <v>5.5363930733492888</v>
      </c>
      <c r="F378" s="143">
        <v>101175</v>
      </c>
      <c r="G378" s="144" t="s">
        <v>32</v>
      </c>
      <c r="H378" s="96"/>
    </row>
    <row r="379" spans="1:8" s="97" customFormat="1" x14ac:dyDescent="0.2">
      <c r="A379" s="238" t="s">
        <v>179</v>
      </c>
      <c r="B379" s="242">
        <v>250000</v>
      </c>
      <c r="C379" s="242">
        <v>522290</v>
      </c>
      <c r="D379" s="242">
        <v>0</v>
      </c>
      <c r="E379" s="236">
        <f t="shared" si="37"/>
        <v>0</v>
      </c>
      <c r="F379" s="143">
        <v>101184</v>
      </c>
      <c r="G379" s="144" t="s">
        <v>32</v>
      </c>
      <c r="H379" s="96"/>
    </row>
    <row r="380" spans="1:8" s="97" customFormat="1" x14ac:dyDescent="0.2">
      <c r="A380" s="238" t="s">
        <v>180</v>
      </c>
      <c r="B380" s="242">
        <v>250000</v>
      </c>
      <c r="C380" s="242">
        <v>427910</v>
      </c>
      <c r="D380" s="242">
        <v>327910</v>
      </c>
      <c r="E380" s="236">
        <f t="shared" si="37"/>
        <v>76.630599892500754</v>
      </c>
      <c r="F380" s="143">
        <v>101185</v>
      </c>
      <c r="G380" s="144" t="s">
        <v>32</v>
      </c>
      <c r="H380" s="96"/>
    </row>
    <row r="381" spans="1:8" s="97" customFormat="1" x14ac:dyDescent="0.2">
      <c r="A381" s="238" t="s">
        <v>181</v>
      </c>
      <c r="B381" s="242">
        <v>270000</v>
      </c>
      <c r="C381" s="242">
        <v>742500</v>
      </c>
      <c r="D381" s="242">
        <v>326260</v>
      </c>
      <c r="E381" s="236">
        <f t="shared" si="37"/>
        <v>43.940740740740743</v>
      </c>
      <c r="F381" s="143">
        <v>101186</v>
      </c>
      <c r="G381" s="144" t="s">
        <v>32</v>
      </c>
      <c r="H381" s="96"/>
    </row>
    <row r="382" spans="1:8" s="97" customFormat="1" x14ac:dyDescent="0.2">
      <c r="A382" s="539" t="s">
        <v>149</v>
      </c>
      <c r="B382" s="547">
        <v>4500000</v>
      </c>
      <c r="C382" s="547">
        <v>1113777</v>
      </c>
      <c r="D382" s="547">
        <v>1113776.44</v>
      </c>
      <c r="E382" s="543">
        <f t="shared" si="37"/>
        <v>99.999949720635271</v>
      </c>
      <c r="F382" s="143">
        <v>101231</v>
      </c>
      <c r="G382" s="116" t="s">
        <v>32</v>
      </c>
      <c r="H382" s="189"/>
    </row>
    <row r="383" spans="1:8" s="97" customFormat="1" x14ac:dyDescent="0.2">
      <c r="A383" s="539" t="s">
        <v>510</v>
      </c>
      <c r="B383" s="547">
        <v>0</v>
      </c>
      <c r="C383" s="547">
        <v>387500</v>
      </c>
      <c r="D383" s="547">
        <v>387272.6</v>
      </c>
      <c r="E383" s="543">
        <f t="shared" si="37"/>
        <v>99.941316129032259</v>
      </c>
      <c r="F383" s="143">
        <v>101236</v>
      </c>
      <c r="G383" s="116" t="s">
        <v>32</v>
      </c>
      <c r="H383" s="189"/>
    </row>
    <row r="384" spans="1:8" s="97" customFormat="1" x14ac:dyDescent="0.2">
      <c r="A384" s="539" t="s">
        <v>412</v>
      </c>
      <c r="B384" s="547">
        <v>23380000</v>
      </c>
      <c r="C384" s="547">
        <v>25963979.010000002</v>
      </c>
      <c r="D384" s="547">
        <f>25822959.45-63080.2</f>
        <v>25759879.25</v>
      </c>
      <c r="E384" s="543">
        <f t="shared" si="37"/>
        <v>99.21391185872784</v>
      </c>
      <c r="F384" s="143">
        <v>101249</v>
      </c>
      <c r="G384" s="116" t="s">
        <v>32</v>
      </c>
      <c r="H384" s="189"/>
    </row>
    <row r="385" spans="1:11" s="97" customFormat="1" ht="25.5" x14ac:dyDescent="0.2">
      <c r="A385" s="238" t="s">
        <v>295</v>
      </c>
      <c r="B385" s="234">
        <v>2500000</v>
      </c>
      <c r="C385" s="234">
        <v>0</v>
      </c>
      <c r="D385" s="234">
        <v>0</v>
      </c>
      <c r="E385" s="236">
        <v>0</v>
      </c>
      <c r="F385" s="143">
        <v>101314</v>
      </c>
      <c r="G385" s="144" t="s">
        <v>32</v>
      </c>
      <c r="H385" s="189"/>
    </row>
    <row r="386" spans="1:11" s="97" customFormat="1" x14ac:dyDescent="0.2">
      <c r="A386" s="238" t="s">
        <v>296</v>
      </c>
      <c r="B386" s="234">
        <v>1000000</v>
      </c>
      <c r="C386" s="234">
        <v>1118110</v>
      </c>
      <c r="D386" s="234">
        <v>1089110</v>
      </c>
      <c r="E386" s="236">
        <f t="shared" si="37"/>
        <v>97.406337480212144</v>
      </c>
      <c r="F386" s="143">
        <v>101324</v>
      </c>
      <c r="G386" s="116" t="s">
        <v>32</v>
      </c>
      <c r="H386" s="189"/>
    </row>
    <row r="387" spans="1:11" s="97" customFormat="1" x14ac:dyDescent="0.2">
      <c r="A387" s="539" t="s">
        <v>409</v>
      </c>
      <c r="B387" s="540">
        <v>0</v>
      </c>
      <c r="C387" s="540">
        <v>7370000</v>
      </c>
      <c r="D387" s="540">
        <v>3536942.72</v>
      </c>
      <c r="E387" s="543">
        <f t="shared" si="37"/>
        <v>47.991081682496613</v>
      </c>
      <c r="F387" s="143">
        <v>101329</v>
      </c>
      <c r="G387" s="116" t="s">
        <v>32</v>
      </c>
      <c r="H387" s="189"/>
    </row>
    <row r="388" spans="1:11" s="97" customFormat="1" ht="13.5" thickBot="1" x14ac:dyDescent="0.25">
      <c r="A388" s="239" t="s">
        <v>511</v>
      </c>
      <c r="B388" s="450">
        <v>0</v>
      </c>
      <c r="C388" s="450">
        <v>290500</v>
      </c>
      <c r="D388" s="450">
        <v>290254.8</v>
      </c>
      <c r="E388" s="241">
        <f t="shared" si="37"/>
        <v>99.915593803786578</v>
      </c>
      <c r="F388" s="143">
        <v>101441</v>
      </c>
      <c r="G388" s="116" t="s">
        <v>32</v>
      </c>
      <c r="H388" s="189"/>
    </row>
    <row r="389" spans="1:11" s="7" customFormat="1" ht="13.5" thickTop="1" x14ac:dyDescent="0.2">
      <c r="E389" s="53"/>
      <c r="F389" s="83"/>
      <c r="G389" s="57"/>
      <c r="H389" s="57"/>
    </row>
    <row r="390" spans="1:11" s="7" customFormat="1" ht="15.75" thickBot="1" x14ac:dyDescent="0.25">
      <c r="A390" s="58" t="s">
        <v>29</v>
      </c>
      <c r="B390" s="5"/>
      <c r="C390" s="5"/>
      <c r="D390" s="5"/>
      <c r="E390" s="156" t="s">
        <v>18</v>
      </c>
      <c r="F390" s="83"/>
      <c r="G390" s="57"/>
      <c r="H390" s="121"/>
      <c r="I390" s="126"/>
      <c r="J390" s="126"/>
      <c r="K390" s="126"/>
    </row>
    <row r="391" spans="1:11" s="6" customFormat="1" ht="19.5" thickTop="1" thickBot="1" x14ac:dyDescent="0.3">
      <c r="A391" s="41" t="s">
        <v>5</v>
      </c>
      <c r="B391" s="42" t="s">
        <v>0</v>
      </c>
      <c r="C391" s="43" t="s">
        <v>1</v>
      </c>
      <c r="D391" s="44" t="s">
        <v>4</v>
      </c>
      <c r="E391" s="45" t="s">
        <v>6</v>
      </c>
      <c r="F391" s="29"/>
      <c r="G391" s="66"/>
      <c r="H391" s="66"/>
    </row>
    <row r="392" spans="1:11" s="7" customFormat="1" ht="15.75" thickTop="1" x14ac:dyDescent="0.2">
      <c r="A392" s="157" t="s">
        <v>10</v>
      </c>
      <c r="B392" s="112">
        <f>SUM(B393:B397)</f>
        <v>38878000</v>
      </c>
      <c r="C392" s="112">
        <f t="shared" ref="C392:D392" si="38">SUM(C393:C397)</f>
        <v>41995551.890000001</v>
      </c>
      <c r="D392" s="112">
        <f t="shared" si="38"/>
        <v>41995551.890000001</v>
      </c>
      <c r="E392" s="158">
        <f>D392/C392*100</f>
        <v>100</v>
      </c>
      <c r="F392" s="83"/>
      <c r="G392" s="57"/>
      <c r="H392" s="57"/>
    </row>
    <row r="393" spans="1:11" s="7" customFormat="1" x14ac:dyDescent="0.2">
      <c r="A393" s="520" t="s">
        <v>355</v>
      </c>
      <c r="B393" s="514">
        <v>100000</v>
      </c>
      <c r="C393" s="514">
        <v>747799.36</v>
      </c>
      <c r="D393" s="514">
        <v>747799.36</v>
      </c>
      <c r="E393" s="515">
        <f t="shared" ref="E393:E397" si="39">D393/C393*100</f>
        <v>100</v>
      </c>
      <c r="F393" s="83">
        <v>1700</v>
      </c>
      <c r="G393" s="440" t="s">
        <v>210</v>
      </c>
      <c r="H393" s="57"/>
    </row>
    <row r="394" spans="1:11" s="7" customFormat="1" x14ac:dyDescent="0.2">
      <c r="A394" s="520" t="s">
        <v>356</v>
      </c>
      <c r="B394" s="514">
        <v>530000</v>
      </c>
      <c r="C394" s="514">
        <v>428830.05</v>
      </c>
      <c r="D394" s="514">
        <v>428830.05</v>
      </c>
      <c r="E394" s="515">
        <f t="shared" si="39"/>
        <v>100</v>
      </c>
      <c r="F394" s="83">
        <v>1704</v>
      </c>
      <c r="G394" s="440" t="s">
        <v>210</v>
      </c>
      <c r="H394" s="57"/>
    </row>
    <row r="395" spans="1:11" s="7" customFormat="1" x14ac:dyDescent="0.2">
      <c r="A395" s="254" t="s">
        <v>355</v>
      </c>
      <c r="B395" s="234">
        <v>5080000</v>
      </c>
      <c r="C395" s="234">
        <v>4937511.99</v>
      </c>
      <c r="D395" s="234">
        <v>4937511.99</v>
      </c>
      <c r="E395" s="236">
        <f t="shared" si="39"/>
        <v>100</v>
      </c>
      <c r="F395" s="83">
        <v>1700</v>
      </c>
      <c r="G395" s="440" t="s">
        <v>211</v>
      </c>
      <c r="H395" s="57"/>
    </row>
    <row r="396" spans="1:11" s="7" customFormat="1" x14ac:dyDescent="0.2">
      <c r="A396" s="544" t="s">
        <v>570</v>
      </c>
      <c r="B396" s="540">
        <v>70000</v>
      </c>
      <c r="C396" s="540">
        <v>911668</v>
      </c>
      <c r="D396" s="540">
        <v>911668</v>
      </c>
      <c r="E396" s="543">
        <f t="shared" si="39"/>
        <v>100</v>
      </c>
      <c r="F396" s="83">
        <v>1702</v>
      </c>
      <c r="G396" s="440" t="s">
        <v>211</v>
      </c>
      <c r="H396" s="57"/>
    </row>
    <row r="397" spans="1:11" s="7" customFormat="1" ht="13.5" thickBot="1" x14ac:dyDescent="0.25">
      <c r="A397" s="244" t="s">
        <v>356</v>
      </c>
      <c r="B397" s="450">
        <v>33098000</v>
      </c>
      <c r="C397" s="450">
        <v>34969742.490000002</v>
      </c>
      <c r="D397" s="450">
        <v>34969742.490000002</v>
      </c>
      <c r="E397" s="241">
        <f t="shared" si="39"/>
        <v>100</v>
      </c>
      <c r="F397" s="83">
        <v>1704</v>
      </c>
      <c r="G397" s="440" t="s">
        <v>211</v>
      </c>
      <c r="H397" s="57"/>
    </row>
    <row r="398" spans="1:11" s="7" customFormat="1" ht="13.5" thickTop="1" x14ac:dyDescent="0.2">
      <c r="A398" s="473"/>
      <c r="B398" s="114"/>
      <c r="C398" s="114"/>
      <c r="D398" s="114"/>
      <c r="E398" s="53"/>
      <c r="F398" s="83"/>
      <c r="G398" s="440"/>
      <c r="H398" s="57"/>
    </row>
    <row r="399" spans="1:11" s="7" customFormat="1" ht="15.75" thickBot="1" x14ac:dyDescent="0.3">
      <c r="A399" s="223" t="s">
        <v>217</v>
      </c>
      <c r="B399" s="203"/>
      <c r="C399" s="203"/>
      <c r="D399" s="203"/>
      <c r="E399" s="224" t="s">
        <v>18</v>
      </c>
      <c r="F399" s="203"/>
      <c r="G399" s="225"/>
      <c r="H399" s="57"/>
    </row>
    <row r="400" spans="1:11" s="7" customFormat="1" ht="14.25" thickTop="1" thickBot="1" x14ac:dyDescent="0.25">
      <c r="A400" s="207" t="s">
        <v>5</v>
      </c>
      <c r="B400" s="208" t="s">
        <v>0</v>
      </c>
      <c r="C400" s="209" t="s">
        <v>1</v>
      </c>
      <c r="D400" s="210" t="s">
        <v>4</v>
      </c>
      <c r="E400" s="211" t="s">
        <v>6</v>
      </c>
      <c r="F400" s="203"/>
      <c r="G400" s="225"/>
      <c r="H400" s="57"/>
    </row>
    <row r="401" spans="1:12" s="7" customFormat="1" ht="15.75" thickTop="1" x14ac:dyDescent="0.2">
      <c r="A401" s="227" t="s">
        <v>10</v>
      </c>
      <c r="B401" s="228">
        <f>SUM(B402:B402)</f>
        <v>0</v>
      </c>
      <c r="C401" s="228">
        <f>SUM(C402:C402)</f>
        <v>986800</v>
      </c>
      <c r="D401" s="228">
        <f>SUM(D402:D402)</f>
        <v>980000</v>
      </c>
      <c r="E401" s="229">
        <f>D401/C401*100</f>
        <v>99.310903931901095</v>
      </c>
      <c r="F401" s="230" t="s">
        <v>2</v>
      </c>
      <c r="G401" s="231" t="s">
        <v>35</v>
      </c>
      <c r="H401" s="57"/>
    </row>
    <row r="402" spans="1:12" s="7" customFormat="1" ht="26.25" thickBot="1" x14ac:dyDescent="0.25">
      <c r="A402" s="180" t="s">
        <v>433</v>
      </c>
      <c r="B402" s="137">
        <v>0</v>
      </c>
      <c r="C402" s="141">
        <v>986800</v>
      </c>
      <c r="D402" s="141">
        <v>980000</v>
      </c>
      <c r="E402" s="138">
        <f>D402/C402*100</f>
        <v>99.310903931901095</v>
      </c>
      <c r="F402" s="120"/>
      <c r="G402" s="99"/>
      <c r="H402" s="57"/>
      <c r="I402" s="116" t="s">
        <v>32</v>
      </c>
      <c r="J402" s="125">
        <f>SUM(B374:B388)</f>
        <v>123188000</v>
      </c>
      <c r="K402" s="125">
        <f t="shared" ref="K402:L402" si="40">SUM(C374:C388)</f>
        <v>58719099</v>
      </c>
      <c r="L402" s="125">
        <f t="shared" si="40"/>
        <v>46671339.979999997</v>
      </c>
    </row>
    <row r="403" spans="1:12" s="7" customFormat="1" ht="13.5" thickTop="1" x14ac:dyDescent="0.2">
      <c r="A403" s="473"/>
      <c r="B403" s="114"/>
      <c r="C403" s="114"/>
      <c r="D403" s="114"/>
      <c r="E403" s="53"/>
      <c r="F403" s="83"/>
      <c r="G403" s="440"/>
      <c r="H403" s="57"/>
      <c r="I403" s="121" t="s">
        <v>34</v>
      </c>
      <c r="J403" s="170">
        <f>SUM(B393:B397)</f>
        <v>38878000</v>
      </c>
      <c r="K403" s="170">
        <f>SUM(C393:C397)</f>
        <v>41995551.890000001</v>
      </c>
      <c r="L403" s="170">
        <f>SUM(D393:D397)</f>
        <v>41995551.890000001</v>
      </c>
    </row>
    <row r="404" spans="1:12" s="7" customFormat="1" x14ac:dyDescent="0.2">
      <c r="B404" s="94"/>
      <c r="C404" s="94"/>
      <c r="D404" s="94"/>
      <c r="E404" s="53"/>
      <c r="F404" s="83"/>
      <c r="G404" s="57"/>
      <c r="H404" s="57"/>
      <c r="I404" s="231" t="s">
        <v>35</v>
      </c>
      <c r="J404" s="549">
        <f>B402</f>
        <v>0</v>
      </c>
      <c r="K404" s="549">
        <f>C402</f>
        <v>986800</v>
      </c>
      <c r="L404" s="549">
        <f>D402</f>
        <v>980000</v>
      </c>
    </row>
    <row r="405" spans="1:12" s="7" customFormat="1" ht="18.75" thickBot="1" x14ac:dyDescent="0.25">
      <c r="A405" s="63" t="s">
        <v>23</v>
      </c>
      <c r="B405" s="64">
        <f>SUM(B373,B392,B401)</f>
        <v>162066000</v>
      </c>
      <c r="C405" s="64">
        <f t="shared" ref="C405:D405" si="41">SUM(C373,C392,C401)</f>
        <v>101701450.89</v>
      </c>
      <c r="D405" s="64">
        <f t="shared" si="41"/>
        <v>89646891.870000005</v>
      </c>
      <c r="E405" s="65">
        <f>D405/C405*100</f>
        <v>88.147112047557542</v>
      </c>
      <c r="F405" s="83"/>
      <c r="G405" s="57"/>
      <c r="H405" s="57"/>
      <c r="J405" s="169">
        <f>SUM(J402:J404)</f>
        <v>162066000</v>
      </c>
      <c r="K405" s="169">
        <f t="shared" ref="K405:L405" si="42">SUM(K402:K404)</f>
        <v>101701450.89</v>
      </c>
      <c r="L405" s="169">
        <f t="shared" si="42"/>
        <v>89646891.870000005</v>
      </c>
    </row>
    <row r="406" spans="1:12" s="7" customFormat="1" ht="13.5" thickTop="1" x14ac:dyDescent="0.2">
      <c r="E406" s="53"/>
      <c r="F406" s="83"/>
      <c r="G406" s="57"/>
      <c r="H406" s="57"/>
    </row>
    <row r="407" spans="1:12" s="7" customFormat="1" x14ac:dyDescent="0.2">
      <c r="E407" s="53"/>
      <c r="F407" s="83"/>
      <c r="G407" s="57"/>
      <c r="H407" s="57"/>
    </row>
    <row r="408" spans="1:12" ht="18" x14ac:dyDescent="0.25">
      <c r="A408" s="36" t="s">
        <v>434</v>
      </c>
      <c r="F408" s="37"/>
    </row>
    <row r="409" spans="1:12" s="61" customFormat="1" ht="15.75" thickBot="1" x14ac:dyDescent="0.3">
      <c r="A409" s="39" t="s">
        <v>41</v>
      </c>
      <c r="B409" s="5"/>
      <c r="C409" s="5"/>
      <c r="D409" s="5"/>
      <c r="E409" s="40" t="s">
        <v>18</v>
      </c>
      <c r="F409" s="87"/>
      <c r="G409" s="536"/>
      <c r="H409" s="60"/>
    </row>
    <row r="410" spans="1:12" ht="14.25" thickTop="1" thickBot="1" x14ac:dyDescent="0.25">
      <c r="A410" s="41" t="s">
        <v>5</v>
      </c>
      <c r="B410" s="42" t="s">
        <v>0</v>
      </c>
      <c r="C410" s="43" t="s">
        <v>1</v>
      </c>
      <c r="D410" s="44" t="s">
        <v>4</v>
      </c>
      <c r="E410" s="45" t="s">
        <v>6</v>
      </c>
      <c r="F410" s="37"/>
    </row>
    <row r="411" spans="1:12" ht="15.75" thickTop="1" x14ac:dyDescent="0.2">
      <c r="A411" s="528" t="s">
        <v>70</v>
      </c>
      <c r="B411" s="529">
        <f>SUM(B412:B412)</f>
        <v>2200000</v>
      </c>
      <c r="C411" s="529">
        <f>SUM(C412:C412)</f>
        <v>3335000</v>
      </c>
      <c r="D411" s="529">
        <f>SUM(D412:D412)</f>
        <v>2914279.27</v>
      </c>
      <c r="E411" s="530">
        <f>D411/C411*100</f>
        <v>87.384685757121446</v>
      </c>
      <c r="F411" s="37"/>
      <c r="G411" s="38" t="s">
        <v>39</v>
      </c>
    </row>
    <row r="412" spans="1:12" ht="25.5" x14ac:dyDescent="0.2">
      <c r="A412" s="518" t="s">
        <v>514</v>
      </c>
      <c r="B412" s="514">
        <v>2200000</v>
      </c>
      <c r="C412" s="514">
        <v>3335000</v>
      </c>
      <c r="D412" s="514">
        <v>2914279.27</v>
      </c>
      <c r="E412" s="515">
        <f t="shared" ref="E412" si="43">D412/C412*100</f>
        <v>87.384685757121446</v>
      </c>
      <c r="F412" s="37"/>
      <c r="G412" s="148"/>
    </row>
    <row r="413" spans="1:12" ht="15" x14ac:dyDescent="0.25">
      <c r="A413" s="528" t="s">
        <v>254</v>
      </c>
      <c r="B413" s="529">
        <f>SUM(B414:B415)</f>
        <v>3620000</v>
      </c>
      <c r="C413" s="529">
        <f>SUM(C414:C415)</f>
        <v>12278117.460000001</v>
      </c>
      <c r="D413" s="529">
        <f>SUM(D414:D415)</f>
        <v>12107652.609999999</v>
      </c>
      <c r="E413" s="530">
        <f>D413/C413*100</f>
        <v>98.611636917830879</v>
      </c>
      <c r="F413" s="37"/>
      <c r="G413" s="57" t="s">
        <v>253</v>
      </c>
      <c r="H413" s="57"/>
      <c r="I413" s="109"/>
      <c r="J413" s="124"/>
      <c r="K413" s="124"/>
      <c r="L413" s="124"/>
    </row>
    <row r="414" spans="1:12" ht="26.25" x14ac:dyDescent="0.25">
      <c r="A414" s="518" t="s">
        <v>512</v>
      </c>
      <c r="B414" s="547">
        <v>1580000</v>
      </c>
      <c r="C414" s="547">
        <v>9388796.4600000009</v>
      </c>
      <c r="D414" s="547">
        <v>9337569.6099999994</v>
      </c>
      <c r="E414" s="236">
        <f t="shared" ref="E414:E415" si="44">D414/C414*100</f>
        <v>99.454383208558752</v>
      </c>
      <c r="F414" s="37"/>
      <c r="G414" s="195"/>
      <c r="H414" s="57"/>
      <c r="I414" s="109"/>
      <c r="J414" s="124"/>
      <c r="K414" s="124"/>
      <c r="L414" s="124"/>
    </row>
    <row r="415" spans="1:12" ht="15" x14ac:dyDescent="0.25">
      <c r="A415" s="518" t="s">
        <v>513</v>
      </c>
      <c r="B415" s="548">
        <v>2040000</v>
      </c>
      <c r="C415" s="548">
        <v>2889321</v>
      </c>
      <c r="D415" s="548">
        <v>2770083</v>
      </c>
      <c r="E415" s="236">
        <f t="shared" si="44"/>
        <v>95.873148051047281</v>
      </c>
      <c r="F415" s="37"/>
      <c r="G415" s="195"/>
      <c r="H415" s="57"/>
      <c r="I415" s="109"/>
      <c r="J415" s="124"/>
      <c r="K415" s="124"/>
      <c r="L415" s="124"/>
    </row>
    <row r="416" spans="1:12" hidden="1" x14ac:dyDescent="0.2">
      <c r="A416" s="159"/>
      <c r="B416" s="74"/>
      <c r="C416" s="74"/>
      <c r="D416" s="74"/>
      <c r="E416" s="53"/>
      <c r="F416" s="37"/>
      <c r="G416" s="57"/>
      <c r="H416" s="57"/>
    </row>
    <row r="417" spans="1:12" hidden="1" x14ac:dyDescent="0.2">
      <c r="A417" s="67"/>
      <c r="B417" s="74"/>
      <c r="C417" s="68"/>
      <c r="D417" s="68"/>
      <c r="E417" s="53"/>
      <c r="G417" s="57"/>
      <c r="H417" s="57"/>
    </row>
    <row r="418" spans="1:12" ht="15" x14ac:dyDescent="0.2">
      <c r="A418" s="528" t="s">
        <v>188</v>
      </c>
      <c r="B418" s="529">
        <f>SUM(B419)</f>
        <v>14800000</v>
      </c>
      <c r="C418" s="529">
        <f>SUM(C419)</f>
        <v>16567900</v>
      </c>
      <c r="D418" s="529">
        <f>SUM(D419)</f>
        <v>15764001</v>
      </c>
      <c r="E418" s="530">
        <f>D418/C418*100</f>
        <v>95.14785217197111</v>
      </c>
      <c r="F418" s="37"/>
      <c r="G418" s="38" t="s">
        <v>195</v>
      </c>
      <c r="I418" s="38"/>
      <c r="J418" s="4"/>
      <c r="K418" s="4"/>
      <c r="L418" s="4"/>
    </row>
    <row r="419" spans="1:12" ht="26.25" thickBot="1" x14ac:dyDescent="0.25">
      <c r="A419" s="628" t="s">
        <v>574</v>
      </c>
      <c r="B419" s="137">
        <v>14800000</v>
      </c>
      <c r="C419" s="137">
        <f>50000+15717900+800000</f>
        <v>16567900</v>
      </c>
      <c r="D419" s="137">
        <f>46101+15717900</f>
        <v>15764001</v>
      </c>
      <c r="E419" s="138">
        <f>D419/C419*100</f>
        <v>95.14785217197111</v>
      </c>
      <c r="F419" s="37"/>
      <c r="I419" s="38" t="s">
        <v>39</v>
      </c>
      <c r="J419" s="4">
        <f>B411</f>
        <v>2200000</v>
      </c>
      <c r="K419" s="4">
        <f>C411</f>
        <v>3335000</v>
      </c>
      <c r="L419" s="4">
        <f>D411</f>
        <v>2914279.27</v>
      </c>
    </row>
    <row r="420" spans="1:12" ht="13.5" thickTop="1" x14ac:dyDescent="0.2">
      <c r="A420" s="67"/>
      <c r="B420" s="68"/>
      <c r="C420" s="68"/>
      <c r="D420" s="68"/>
      <c r="E420" s="53"/>
      <c r="G420" s="57"/>
      <c r="H420" s="57"/>
      <c r="I420" s="38" t="s">
        <v>255</v>
      </c>
      <c r="J420" s="4">
        <f>B413</f>
        <v>3620000</v>
      </c>
      <c r="K420" s="4">
        <f>C413</f>
        <v>12278117.460000001</v>
      </c>
      <c r="L420" s="4">
        <f>D413</f>
        <v>12107652.609999999</v>
      </c>
    </row>
    <row r="421" spans="1:12" x14ac:dyDescent="0.2">
      <c r="A421" s="67"/>
      <c r="B421" s="68"/>
      <c r="C421" s="68"/>
      <c r="D421" s="68"/>
      <c r="E421" s="53"/>
      <c r="G421" s="57"/>
      <c r="H421" s="57"/>
      <c r="I421" s="49"/>
      <c r="J421" s="147"/>
      <c r="K421" s="147"/>
      <c r="L421" s="147"/>
    </row>
    <row r="422" spans="1:12" x14ac:dyDescent="0.2">
      <c r="A422" s="67"/>
      <c r="B422" s="68"/>
      <c r="C422" s="68"/>
      <c r="D422" s="68"/>
      <c r="E422" s="53"/>
      <c r="G422" s="57"/>
      <c r="H422" s="57"/>
      <c r="I422" s="38" t="s">
        <v>195</v>
      </c>
      <c r="J422" s="4">
        <f>B418</f>
        <v>14800000</v>
      </c>
      <c r="K422" s="4">
        <f>C418</f>
        <v>16567900</v>
      </c>
      <c r="L422" s="4">
        <f>D418</f>
        <v>15764001</v>
      </c>
    </row>
    <row r="423" spans="1:12" ht="18.75" thickBot="1" x14ac:dyDescent="0.3">
      <c r="A423" s="63" t="s">
        <v>218</v>
      </c>
      <c r="B423" s="64">
        <f>SUM(B411,B418,B413)</f>
        <v>20620000</v>
      </c>
      <c r="C423" s="64">
        <f>SUM(C411,C418,C413)</f>
        <v>32181017.460000001</v>
      </c>
      <c r="D423" s="64">
        <f>SUM(D411,D418,D413)</f>
        <v>30785932.879999999</v>
      </c>
      <c r="E423" s="65">
        <f>D423/C423*100</f>
        <v>95.664883555238589</v>
      </c>
      <c r="G423" s="57"/>
      <c r="H423" s="57"/>
      <c r="I423" s="109"/>
      <c r="J423" s="124">
        <f>SUM(J418:J422)</f>
        <v>20620000</v>
      </c>
      <c r="K423" s="124">
        <f>SUM(K418:K422)</f>
        <v>32181017.460000001</v>
      </c>
      <c r="L423" s="124">
        <f>SUM(L418:L422)</f>
        <v>30785932.879999999</v>
      </c>
    </row>
    <row r="424" spans="1:12" ht="18.75" thickTop="1" x14ac:dyDescent="0.2">
      <c r="A424" s="153"/>
      <c r="B424" s="154"/>
      <c r="C424" s="154"/>
      <c r="D424" s="154"/>
      <c r="E424" s="155"/>
      <c r="G424" s="57"/>
      <c r="H424" s="57"/>
    </row>
    <row r="425" spans="1:12" x14ac:dyDescent="0.2">
      <c r="B425" s="4"/>
      <c r="F425" s="101"/>
      <c r="G425" s="57"/>
      <c r="H425" s="57"/>
    </row>
    <row r="426" spans="1:12" ht="14.25" x14ac:dyDescent="0.2">
      <c r="A426" s="71" t="s">
        <v>12</v>
      </c>
      <c r="B426" s="71"/>
      <c r="C426" s="71"/>
      <c r="D426" s="71"/>
      <c r="E426" s="72"/>
      <c r="F426" s="102"/>
      <c r="G426" s="57"/>
      <c r="H426" s="57"/>
    </row>
    <row r="427" spans="1:12" ht="14.25" x14ac:dyDescent="0.2">
      <c r="A427" s="73" t="s">
        <v>16</v>
      </c>
      <c r="B427" s="74">
        <f>SUM(B182)</f>
        <v>273848000</v>
      </c>
      <c r="C427" s="74">
        <f>SUM(C182)</f>
        <v>310836955.63999999</v>
      </c>
      <c r="D427" s="74">
        <f>SUM(D182)</f>
        <v>270903192.75000006</v>
      </c>
      <c r="E427" s="75">
        <f t="shared" ref="E427:E433" si="45">D427/C427*100</f>
        <v>87.152826533197114</v>
      </c>
      <c r="F427" s="103"/>
      <c r="G427" s="57"/>
      <c r="H427" s="57"/>
      <c r="I427" s="127" t="s">
        <v>35</v>
      </c>
      <c r="J427" s="128">
        <f>J177+J317+J366+J404</f>
        <v>6821000</v>
      </c>
      <c r="K427" s="128">
        <f>K177+K317+K366+K404</f>
        <v>12870855</v>
      </c>
      <c r="L427" s="128">
        <f>L177+L317+L366+L404</f>
        <v>9546107.7899999991</v>
      </c>
    </row>
    <row r="428" spans="1:12" ht="14.25" x14ac:dyDescent="0.2">
      <c r="A428" s="73" t="s">
        <v>15</v>
      </c>
      <c r="B428" s="74">
        <f>SUM(B278)</f>
        <v>175045000</v>
      </c>
      <c r="C428" s="74">
        <f>SUM(C278)</f>
        <v>97290193.149999991</v>
      </c>
      <c r="D428" s="74">
        <f>SUM(D278)</f>
        <v>71567303.710000008</v>
      </c>
      <c r="E428" s="75">
        <f t="shared" si="45"/>
        <v>73.560655388625889</v>
      </c>
      <c r="F428" s="104"/>
      <c r="G428" s="57"/>
      <c r="H428" s="57"/>
      <c r="I428" s="116" t="s">
        <v>32</v>
      </c>
      <c r="J428" s="173">
        <f>J402+J362+J315+J268+J178</f>
        <v>645979000</v>
      </c>
      <c r="K428" s="173">
        <f>K402+K362+K315+K268+K178</f>
        <v>466548219.86000001</v>
      </c>
      <c r="L428" s="173">
        <f>L402+L362+L315+L268+L178</f>
        <v>361335485.07000005</v>
      </c>
    </row>
    <row r="429" spans="1:12" ht="14.25" x14ac:dyDescent="0.2">
      <c r="A429" s="73" t="s">
        <v>17</v>
      </c>
      <c r="B429" s="74">
        <f>SUM(B318)</f>
        <v>97909000</v>
      </c>
      <c r="C429" s="74">
        <f>SUM(C318)</f>
        <v>82816209.400000006</v>
      </c>
      <c r="D429" s="74">
        <f>SUM(D318)</f>
        <v>67532812.150000006</v>
      </c>
      <c r="E429" s="75">
        <f t="shared" si="45"/>
        <v>81.545403537873113</v>
      </c>
      <c r="G429" s="57"/>
      <c r="H429" s="57"/>
      <c r="J429" s="582">
        <f>J363</f>
        <v>36000000</v>
      </c>
      <c r="K429" s="582">
        <f t="shared" ref="K429:L429" si="46">K363</f>
        <v>43243293.509999998</v>
      </c>
      <c r="L429" s="582">
        <f t="shared" si="46"/>
        <v>43243293.509999998</v>
      </c>
    </row>
    <row r="430" spans="1:12" ht="14.25" x14ac:dyDescent="0.2">
      <c r="A430" s="73" t="s">
        <v>13</v>
      </c>
      <c r="B430" s="74">
        <f>SUM(B366)</f>
        <v>306857000</v>
      </c>
      <c r="C430" s="74">
        <f>SUM(C366)</f>
        <v>320207752.70000005</v>
      </c>
      <c r="D430" s="74">
        <f>SUM(D366)</f>
        <v>304664879.30000001</v>
      </c>
      <c r="E430" s="75">
        <f t="shared" si="45"/>
        <v>95.14600340905487</v>
      </c>
      <c r="G430" s="57"/>
      <c r="H430" s="57"/>
      <c r="I430" s="121" t="s">
        <v>34</v>
      </c>
      <c r="J430" s="174">
        <f>J403+J364+J316+J269+J179</f>
        <v>299659000</v>
      </c>
      <c r="K430" s="174">
        <f>K403+K364+K316+K269+K179</f>
        <v>357364277.11000001</v>
      </c>
      <c r="L430" s="174">
        <f>L403+L364+L316+L269+L179</f>
        <v>357364277.11000001</v>
      </c>
    </row>
    <row r="431" spans="1:12" ht="14.25" x14ac:dyDescent="0.2">
      <c r="A431" s="73" t="s">
        <v>14</v>
      </c>
      <c r="B431" s="74">
        <f>SUM(B405)</f>
        <v>162066000</v>
      </c>
      <c r="C431" s="74">
        <f>SUM(C405)</f>
        <v>101701450.89</v>
      </c>
      <c r="D431" s="74">
        <f>SUM(D405)</f>
        <v>89646891.870000005</v>
      </c>
      <c r="E431" s="75">
        <f t="shared" si="45"/>
        <v>88.147112047557542</v>
      </c>
      <c r="G431" s="57"/>
      <c r="H431" s="57"/>
      <c r="J431" s="582">
        <f>J365</f>
        <v>27266000</v>
      </c>
      <c r="K431" s="582">
        <f t="shared" ref="K431:L431" si="47">K365</f>
        <v>32825916.300000001</v>
      </c>
      <c r="L431" s="582">
        <f t="shared" si="47"/>
        <v>32825916.300000001</v>
      </c>
    </row>
    <row r="432" spans="1:12" ht="14.25" x14ac:dyDescent="0.2">
      <c r="A432" s="73" t="s">
        <v>54</v>
      </c>
      <c r="B432" s="74">
        <f>SUM(B423)</f>
        <v>20620000</v>
      </c>
      <c r="C432" s="74">
        <f>SUM(C423)</f>
        <v>32181017.460000001</v>
      </c>
      <c r="D432" s="74">
        <f>SUM(D423)</f>
        <v>30785932.879999999</v>
      </c>
      <c r="E432" s="75">
        <f t="shared" si="45"/>
        <v>95.664883555238589</v>
      </c>
      <c r="I432" s="38"/>
      <c r="J432" s="199"/>
      <c r="K432" s="199"/>
      <c r="L432" s="199"/>
    </row>
    <row r="433" spans="1:12" ht="15.75" thickBot="1" x14ac:dyDescent="0.25">
      <c r="A433" s="76" t="s">
        <v>3</v>
      </c>
      <c r="B433" s="77">
        <f>SUM(B427:B432)</f>
        <v>1036345000</v>
      </c>
      <c r="C433" s="77">
        <f>SUM(C427:C432)</f>
        <v>945033579.24000001</v>
      </c>
      <c r="D433" s="77">
        <f>SUM(D427:D432)</f>
        <v>835101012.66000009</v>
      </c>
      <c r="E433" s="78">
        <f t="shared" si="45"/>
        <v>88.36733752165631</v>
      </c>
      <c r="I433" s="38" t="s">
        <v>39</v>
      </c>
      <c r="J433" s="199">
        <f t="shared" ref="J433:L436" si="48">J419</f>
        <v>2200000</v>
      </c>
      <c r="K433" s="199">
        <f t="shared" si="48"/>
        <v>3335000</v>
      </c>
      <c r="L433" s="199">
        <f t="shared" si="48"/>
        <v>2914279.27</v>
      </c>
    </row>
    <row r="434" spans="1:12" ht="13.5" thickTop="1" x14ac:dyDescent="0.2">
      <c r="F434" s="1"/>
      <c r="G434" s="1"/>
      <c r="H434" s="129"/>
      <c r="I434" s="38" t="s">
        <v>255</v>
      </c>
      <c r="J434" s="199">
        <f t="shared" si="48"/>
        <v>3620000</v>
      </c>
      <c r="K434" s="199">
        <f t="shared" si="48"/>
        <v>12278117.460000001</v>
      </c>
      <c r="L434" s="199">
        <f t="shared" si="48"/>
        <v>12107652.609999999</v>
      </c>
    </row>
    <row r="435" spans="1:12" x14ac:dyDescent="0.2">
      <c r="F435" s="1"/>
      <c r="G435" s="1"/>
      <c r="I435" s="38"/>
      <c r="J435" s="199"/>
      <c r="K435" s="199"/>
      <c r="L435" s="199"/>
    </row>
    <row r="436" spans="1:12" x14ac:dyDescent="0.2">
      <c r="F436" s="1"/>
      <c r="G436" s="1"/>
      <c r="I436" s="38" t="s">
        <v>195</v>
      </c>
      <c r="J436" s="199">
        <f t="shared" si="48"/>
        <v>14800000</v>
      </c>
      <c r="K436" s="199">
        <f t="shared" si="48"/>
        <v>16567900</v>
      </c>
      <c r="L436" s="199">
        <f t="shared" si="48"/>
        <v>15764001</v>
      </c>
    </row>
    <row r="437" spans="1:12" x14ac:dyDescent="0.2">
      <c r="A437" s="123"/>
      <c r="B437" s="176"/>
      <c r="C437" s="176"/>
      <c r="D437" s="176"/>
      <c r="E437" s="2"/>
      <c r="F437" s="1"/>
      <c r="G437" s="1"/>
      <c r="I437" s="38"/>
      <c r="J437" s="4"/>
      <c r="K437" s="4"/>
      <c r="L437" s="4"/>
    </row>
    <row r="438" spans="1:12" ht="15" x14ac:dyDescent="0.25">
      <c r="A438" s="177"/>
      <c r="B438" s="178"/>
      <c r="C438" s="178"/>
      <c r="D438" s="178"/>
      <c r="E438" s="2"/>
      <c r="F438" s="1"/>
      <c r="G438" s="1"/>
      <c r="I438" s="38"/>
      <c r="J438" s="124">
        <f>SUM(J427:J437)</f>
        <v>1036345000</v>
      </c>
      <c r="K438" s="124">
        <f>SUM(K427:K437)</f>
        <v>945033579.24000001</v>
      </c>
      <c r="L438" s="124">
        <f>SUM(L427:L437)</f>
        <v>835101012.65999997</v>
      </c>
    </row>
    <row r="439" spans="1:12" x14ac:dyDescent="0.2">
      <c r="A439" s="177"/>
      <c r="B439" s="178"/>
      <c r="C439" s="178"/>
      <c r="D439" s="178"/>
      <c r="E439" s="2"/>
      <c r="F439" s="1"/>
      <c r="G439" s="1"/>
    </row>
    <row r="440" spans="1:12" x14ac:dyDescent="0.2">
      <c r="A440" s="177"/>
      <c r="B440" s="178"/>
      <c r="C440" s="178"/>
      <c r="D440" s="178"/>
      <c r="E440" s="2"/>
      <c r="F440" s="5"/>
      <c r="G440" s="5"/>
    </row>
    <row r="441" spans="1:12" x14ac:dyDescent="0.2">
      <c r="A441" s="122"/>
      <c r="B441" s="108"/>
      <c r="C441" s="108"/>
      <c r="D441" s="108"/>
      <c r="E441" s="2"/>
      <c r="F441" s="5"/>
      <c r="G441" s="5"/>
    </row>
    <row r="442" spans="1:12" x14ac:dyDescent="0.2">
      <c r="A442" s="122"/>
      <c r="B442" s="108"/>
      <c r="C442" s="108"/>
      <c r="D442" s="108"/>
      <c r="E442" s="2"/>
      <c r="F442" s="5"/>
      <c r="G442" s="5"/>
    </row>
    <row r="443" spans="1:12" x14ac:dyDescent="0.2">
      <c r="E443" s="5"/>
      <c r="F443" s="5"/>
      <c r="G443" s="5"/>
    </row>
    <row r="444" spans="1:12" x14ac:dyDescent="0.2">
      <c r="E444" s="5"/>
      <c r="F444" s="5"/>
      <c r="G444" s="5"/>
      <c r="I444" s="7"/>
      <c r="J444" s="7"/>
      <c r="K444" s="7"/>
    </row>
    <row r="445" spans="1:12" x14ac:dyDescent="0.2">
      <c r="E445" s="5"/>
      <c r="F445" s="5"/>
      <c r="G445" s="5"/>
    </row>
    <row r="446" spans="1:12" x14ac:dyDescent="0.2">
      <c r="E446" s="5"/>
      <c r="F446" s="5"/>
      <c r="G446" s="5"/>
    </row>
    <row r="447" spans="1:12" x14ac:dyDescent="0.2">
      <c r="E447" s="5"/>
    </row>
    <row r="448" spans="1:12" x14ac:dyDescent="0.2">
      <c r="E448" s="5"/>
    </row>
    <row r="449" spans="5:5" x14ac:dyDescent="0.2">
      <c r="E449" s="5"/>
    </row>
  </sheetData>
  <mergeCells count="2">
    <mergeCell ref="A339:A340"/>
    <mergeCell ref="A356:A358"/>
  </mergeCells>
  <pageMargins left="0.78740157480314965" right="0.78740157480314965" top="0.98425196850393704" bottom="0.98425196850393704" header="0.51181102362204722" footer="0.51181102362204722"/>
  <pageSetup paperSize="9" scale="44" firstPageNumber="169" fitToHeight="5" orientation="portrait" useFirstPageNumber="1" r:id="rId1"/>
  <headerFooter alignWithMargins="0"/>
  <rowBreaks count="8" manualBreakCount="8">
    <brk id="96" max="3" man="1"/>
    <brk id="183" max="3" man="1"/>
    <brk id="253" max="3" man="1"/>
    <brk id="279" max="3" man="1"/>
    <brk id="320" max="3" man="1"/>
    <brk id="369" max="3" man="1"/>
    <brk id="407" max="3" man="1"/>
    <brk id="438" max="4" man="1"/>
  </rowBreaks>
  <colBreaks count="1" manualBreakCount="1">
    <brk id="5" max="1048575" man="1"/>
  </colBreaks>
  <ignoredErrors>
    <ignoredError sqref="J364" formulaRange="1"/>
    <ignoredError sqref="J430:L4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6"/>
  <sheetViews>
    <sheetView showGridLines="0" view="pageBreakPreview" topLeftCell="A142" zoomScaleNormal="100" zoomScaleSheetLayoutView="100" workbookViewId="0">
      <selection activeCell="A41" sqref="A41"/>
    </sheetView>
  </sheetViews>
  <sheetFormatPr defaultColWidth="9.140625" defaultRowHeight="12.75" x14ac:dyDescent="0.2"/>
  <cols>
    <col min="1" max="1" width="77.7109375" style="264" customWidth="1"/>
    <col min="2" max="2" width="17.140625" style="264" customWidth="1"/>
    <col min="3" max="3" width="17.28515625" style="264" customWidth="1"/>
    <col min="4" max="4" width="17.28515625" style="264" bestFit="1" customWidth="1"/>
    <col min="5" max="5" width="7.5703125" style="265" customWidth="1"/>
    <col min="6" max="6" width="15.28515625" style="266" customWidth="1"/>
    <col min="7" max="7" width="19.140625" style="267" customWidth="1"/>
    <col min="8" max="8" width="11" style="267" customWidth="1"/>
    <col min="9" max="9" width="22.7109375" style="264" customWidth="1"/>
    <col min="10" max="10" width="18.28515625" style="264" customWidth="1"/>
    <col min="11" max="11" width="20.7109375" style="264" customWidth="1"/>
    <col min="12" max="12" width="17.5703125" style="264" customWidth="1"/>
    <col min="13" max="16384" width="9.140625" style="264"/>
  </cols>
  <sheetData>
    <row r="1" spans="1:11" s="260" customFormat="1" ht="18" x14ac:dyDescent="0.25">
      <c r="A1" s="256" t="s">
        <v>413</v>
      </c>
      <c r="B1" s="256"/>
      <c r="C1" s="256"/>
      <c r="D1" s="256"/>
      <c r="E1" s="256"/>
      <c r="F1" s="257"/>
      <c r="G1" s="258"/>
      <c r="H1" s="259"/>
    </row>
    <row r="2" spans="1:11" s="263" customFormat="1" ht="15.75" x14ac:dyDescent="0.25">
      <c r="A2" s="261" t="s">
        <v>224</v>
      </c>
      <c r="B2" s="262"/>
      <c r="C2" s="262"/>
      <c r="D2" s="262"/>
      <c r="E2" s="262"/>
      <c r="F2" s="257"/>
      <c r="G2" s="258"/>
      <c r="H2" s="259"/>
    </row>
    <row r="3" spans="1:11" ht="12" customHeight="1" x14ac:dyDescent="0.2">
      <c r="B3" s="260"/>
    </row>
    <row r="4" spans="1:11" ht="15" customHeight="1" x14ac:dyDescent="0.25">
      <c r="A4" s="268" t="s">
        <v>19</v>
      </c>
      <c r="B4" s="260"/>
    </row>
    <row r="5" spans="1:11" ht="15.75" thickBot="1" x14ac:dyDescent="0.3">
      <c r="A5" s="269" t="s">
        <v>150</v>
      </c>
      <c r="B5" s="260"/>
      <c r="D5" s="270"/>
      <c r="E5" s="271" t="s">
        <v>18</v>
      </c>
    </row>
    <row r="6" spans="1:11" ht="14.25" thickTop="1" thickBot="1" x14ac:dyDescent="0.25">
      <c r="A6" s="272" t="s">
        <v>5</v>
      </c>
      <c r="B6" s="273" t="s">
        <v>0</v>
      </c>
      <c r="C6" s="274" t="s">
        <v>1</v>
      </c>
      <c r="D6" s="275" t="s">
        <v>4</v>
      </c>
      <c r="E6" s="276" t="s">
        <v>6</v>
      </c>
    </row>
    <row r="7" spans="1:11" ht="15.75" thickTop="1" x14ac:dyDescent="0.25">
      <c r="A7" s="277" t="s">
        <v>7</v>
      </c>
      <c r="B7" s="278">
        <f>SUM(B8:B64)</f>
        <v>131820000</v>
      </c>
      <c r="C7" s="278">
        <f t="shared" ref="C7:D7" si="0">SUM(C8:C64)</f>
        <v>196656519.69</v>
      </c>
      <c r="D7" s="278">
        <f t="shared" si="0"/>
        <v>189969198.41</v>
      </c>
      <c r="E7" s="279">
        <f>D7/C7*100</f>
        <v>96.599491697228459</v>
      </c>
      <c r="H7" s="280"/>
      <c r="I7" s="281"/>
      <c r="J7" s="282"/>
      <c r="K7" s="283"/>
    </row>
    <row r="8" spans="1:11" x14ac:dyDescent="0.2">
      <c r="A8" s="458" t="s">
        <v>151</v>
      </c>
      <c r="B8" s="499">
        <v>300000</v>
      </c>
      <c r="C8" s="459">
        <v>300000</v>
      </c>
      <c r="D8" s="459">
        <v>7865</v>
      </c>
      <c r="E8" s="460">
        <f t="shared" ref="E8" si="1">D8/C8*100</f>
        <v>2.6216666666666666</v>
      </c>
      <c r="F8" s="266">
        <v>100661</v>
      </c>
      <c r="G8" s="285" t="s">
        <v>152</v>
      </c>
      <c r="H8" s="280"/>
      <c r="I8" s="281"/>
      <c r="J8" s="282"/>
      <c r="K8" s="283"/>
    </row>
    <row r="9" spans="1:11" ht="25.5" customHeight="1" x14ac:dyDescent="0.2">
      <c r="A9" s="609" t="s">
        <v>153</v>
      </c>
      <c r="B9" s="499">
        <v>600000</v>
      </c>
      <c r="C9" s="459">
        <v>0</v>
      </c>
      <c r="D9" s="459">
        <v>0</v>
      </c>
      <c r="E9" s="460">
        <v>0</v>
      </c>
      <c r="F9" s="288">
        <v>101018</v>
      </c>
      <c r="G9" s="289" t="s">
        <v>152</v>
      </c>
      <c r="H9" s="280"/>
      <c r="I9" s="281"/>
      <c r="J9" s="282"/>
      <c r="K9" s="283"/>
    </row>
    <row r="10" spans="1:11" x14ac:dyDescent="0.2">
      <c r="A10" s="641" t="s">
        <v>154</v>
      </c>
      <c r="B10" s="499">
        <v>6527000</v>
      </c>
      <c r="C10" s="459">
        <v>14794967.15</v>
      </c>
      <c r="D10" s="459">
        <v>14794967.15</v>
      </c>
      <c r="E10" s="460">
        <f t="shared" ref="E10:E13" si="2">D10/C10*100</f>
        <v>100</v>
      </c>
      <c r="F10" s="266">
        <v>101019</v>
      </c>
      <c r="G10" s="289" t="s">
        <v>152</v>
      </c>
      <c r="H10" s="280"/>
      <c r="I10" s="281"/>
      <c r="J10" s="282"/>
      <c r="K10" s="283"/>
    </row>
    <row r="11" spans="1:11" x14ac:dyDescent="0.2">
      <c r="A11" s="642"/>
      <c r="B11" s="499">
        <v>0</v>
      </c>
      <c r="C11" s="459">
        <v>2487106.79</v>
      </c>
      <c r="D11" s="459">
        <v>2487106.79</v>
      </c>
      <c r="E11" s="460">
        <f t="shared" si="2"/>
        <v>100</v>
      </c>
      <c r="F11" s="266">
        <v>101019</v>
      </c>
      <c r="G11" s="445" t="s">
        <v>366</v>
      </c>
      <c r="H11" s="280"/>
      <c r="I11" s="281"/>
      <c r="J11" s="282"/>
      <c r="K11" s="283"/>
    </row>
    <row r="12" spans="1:11" x14ac:dyDescent="0.2">
      <c r="A12" s="641" t="s">
        <v>155</v>
      </c>
      <c r="B12" s="499">
        <v>26246000</v>
      </c>
      <c r="C12" s="459">
        <v>28741648.969999999</v>
      </c>
      <c r="D12" s="459">
        <v>26861829.129999999</v>
      </c>
      <c r="E12" s="460">
        <f t="shared" si="2"/>
        <v>93.459596413684821</v>
      </c>
      <c r="F12" s="266">
        <v>101022</v>
      </c>
      <c r="G12" s="289" t="s">
        <v>152</v>
      </c>
      <c r="H12" s="280"/>
      <c r="I12" s="281"/>
      <c r="J12" s="282"/>
      <c r="K12" s="283"/>
    </row>
    <row r="13" spans="1:11" x14ac:dyDescent="0.2">
      <c r="A13" s="642"/>
      <c r="B13" s="499">
        <v>0</v>
      </c>
      <c r="C13" s="459">
        <v>7552074.1200000001</v>
      </c>
      <c r="D13" s="459">
        <v>7552074.1200000001</v>
      </c>
      <c r="E13" s="460">
        <f t="shared" si="2"/>
        <v>100</v>
      </c>
      <c r="F13" s="266">
        <v>101022</v>
      </c>
      <c r="G13" s="445" t="s">
        <v>366</v>
      </c>
      <c r="H13" s="280"/>
      <c r="I13" s="281"/>
      <c r="J13" s="282"/>
      <c r="K13" s="283"/>
    </row>
    <row r="14" spans="1:11" ht="25.5" customHeight="1" x14ac:dyDescent="0.2">
      <c r="A14" s="643" t="s">
        <v>156</v>
      </c>
      <c r="B14" s="499">
        <v>4241000</v>
      </c>
      <c r="C14" s="459">
        <v>3970730.92</v>
      </c>
      <c r="D14" s="459">
        <v>3949792.61</v>
      </c>
      <c r="E14" s="460">
        <f t="shared" ref="E14:E20" si="3">D14/C14*100</f>
        <v>99.472683734510014</v>
      </c>
      <c r="F14" s="288">
        <v>101056</v>
      </c>
      <c r="G14" s="289" t="s">
        <v>152</v>
      </c>
      <c r="H14" s="280"/>
      <c r="I14" s="281"/>
      <c r="J14" s="282"/>
      <c r="K14" s="283"/>
    </row>
    <row r="15" spans="1:11" x14ac:dyDescent="0.2">
      <c r="A15" s="644"/>
      <c r="B15" s="499">
        <v>0</v>
      </c>
      <c r="C15" s="459">
        <v>2588166.9300000002</v>
      </c>
      <c r="D15" s="459">
        <v>2588166.92</v>
      </c>
      <c r="E15" s="460">
        <f t="shared" si="3"/>
        <v>99.999999613626144</v>
      </c>
      <c r="F15" s="288">
        <v>101056</v>
      </c>
      <c r="G15" s="445" t="s">
        <v>366</v>
      </c>
      <c r="H15" s="280"/>
      <c r="I15" s="281"/>
      <c r="J15" s="282"/>
      <c r="K15" s="283"/>
    </row>
    <row r="16" spans="1:11" ht="25.5" customHeight="1" x14ac:dyDescent="0.2">
      <c r="A16" s="609" t="s">
        <v>157</v>
      </c>
      <c r="B16" s="499">
        <v>16948000</v>
      </c>
      <c r="C16" s="459">
        <v>11784.55</v>
      </c>
      <c r="D16" s="459">
        <v>11089</v>
      </c>
      <c r="E16" s="460">
        <f t="shared" si="3"/>
        <v>94.097780568625879</v>
      </c>
      <c r="F16" s="288">
        <v>101113</v>
      </c>
      <c r="G16" s="289" t="s">
        <v>152</v>
      </c>
      <c r="H16" s="280"/>
      <c r="I16" s="281"/>
      <c r="J16" s="282"/>
      <c r="K16" s="283"/>
    </row>
    <row r="17" spans="1:12" x14ac:dyDescent="0.2">
      <c r="A17" s="643" t="s">
        <v>158</v>
      </c>
      <c r="B17" s="499">
        <v>14143000</v>
      </c>
      <c r="C17" s="459">
        <v>15032663.76</v>
      </c>
      <c r="D17" s="459">
        <v>14628505.42</v>
      </c>
      <c r="E17" s="460">
        <f t="shared" si="3"/>
        <v>97.311465576211361</v>
      </c>
      <c r="F17" s="266">
        <v>101120</v>
      </c>
      <c r="G17" s="289" t="s">
        <v>152</v>
      </c>
      <c r="H17" s="280"/>
      <c r="I17" s="281"/>
      <c r="J17" s="282"/>
      <c r="K17" s="283"/>
    </row>
    <row r="18" spans="1:12" x14ac:dyDescent="0.2">
      <c r="A18" s="644"/>
      <c r="B18" s="499">
        <v>0</v>
      </c>
      <c r="C18" s="459">
        <v>4403185.8499999996</v>
      </c>
      <c r="D18" s="459">
        <v>4403185.8499999996</v>
      </c>
      <c r="E18" s="460">
        <f t="shared" si="3"/>
        <v>100</v>
      </c>
      <c r="F18" s="266">
        <v>101120</v>
      </c>
      <c r="G18" s="445" t="s">
        <v>366</v>
      </c>
      <c r="H18" s="280"/>
      <c r="I18" s="281"/>
      <c r="J18" s="282"/>
      <c r="K18" s="283"/>
    </row>
    <row r="19" spans="1:12" ht="25.5" customHeight="1" x14ac:dyDescent="0.2">
      <c r="A19" s="641" t="s">
        <v>159</v>
      </c>
      <c r="B19" s="499">
        <v>14032000</v>
      </c>
      <c r="C19" s="459">
        <v>19055000</v>
      </c>
      <c r="D19" s="459">
        <v>18814288.640000001</v>
      </c>
      <c r="E19" s="460">
        <f t="shared" si="3"/>
        <v>98.736754867488855</v>
      </c>
      <c r="F19" s="288">
        <v>101130</v>
      </c>
      <c r="G19" s="289" t="s">
        <v>152</v>
      </c>
      <c r="H19" s="280"/>
      <c r="I19" s="281"/>
      <c r="J19" s="282"/>
      <c r="K19" s="283"/>
    </row>
    <row r="20" spans="1:12" x14ac:dyDescent="0.2">
      <c r="A20" s="642"/>
      <c r="B20" s="499">
        <v>0</v>
      </c>
      <c r="C20" s="459">
        <v>8876826.5399999991</v>
      </c>
      <c r="D20" s="459">
        <v>8876826.5399999991</v>
      </c>
      <c r="E20" s="460">
        <f t="shared" si="3"/>
        <v>100</v>
      </c>
      <c r="F20" s="266">
        <v>101130</v>
      </c>
      <c r="G20" s="445" t="s">
        <v>366</v>
      </c>
      <c r="H20" s="280"/>
      <c r="I20" s="281"/>
      <c r="J20" s="282"/>
      <c r="K20" s="283"/>
    </row>
    <row r="21" spans="1:12" s="293" customFormat="1" ht="25.5" x14ac:dyDescent="0.25">
      <c r="A21" s="609" t="s">
        <v>232</v>
      </c>
      <c r="B21" s="499">
        <v>0</v>
      </c>
      <c r="C21" s="459">
        <v>335931.09</v>
      </c>
      <c r="D21" s="459">
        <v>335931</v>
      </c>
      <c r="E21" s="460">
        <f t="shared" ref="E21:E61" si="4">D21/C21*100</f>
        <v>99.999973208791118</v>
      </c>
      <c r="F21" s="290">
        <v>101133</v>
      </c>
      <c r="G21" s="289" t="s">
        <v>152</v>
      </c>
      <c r="H21" s="291"/>
      <c r="I21" s="260"/>
      <c r="J21" s="292"/>
      <c r="K21" s="292"/>
      <c r="L21" s="292"/>
    </row>
    <row r="22" spans="1:12" s="295" customFormat="1" ht="12.75" customHeight="1" x14ac:dyDescent="0.2">
      <c r="A22" s="609" t="s">
        <v>88</v>
      </c>
      <c r="B22" s="499">
        <v>0</v>
      </c>
      <c r="C22" s="461">
        <v>969377.4</v>
      </c>
      <c r="D22" s="461">
        <v>969377.4</v>
      </c>
      <c r="E22" s="460">
        <f t="shared" si="4"/>
        <v>100</v>
      </c>
      <c r="F22" s="288">
        <v>101151</v>
      </c>
      <c r="G22" s="289" t="s">
        <v>152</v>
      </c>
      <c r="H22" s="294"/>
    </row>
    <row r="23" spans="1:12" s="295" customFormat="1" ht="12.75" customHeight="1" x14ac:dyDescent="0.2">
      <c r="A23" s="609" t="s">
        <v>89</v>
      </c>
      <c r="B23" s="499">
        <v>0</v>
      </c>
      <c r="C23" s="461">
        <v>334958.53000000003</v>
      </c>
      <c r="D23" s="461">
        <v>334957.53000000003</v>
      </c>
      <c r="E23" s="460">
        <f t="shared" si="4"/>
        <v>99.999701455580194</v>
      </c>
      <c r="F23" s="290">
        <v>101152</v>
      </c>
      <c r="G23" s="289" t="s">
        <v>152</v>
      </c>
      <c r="H23" s="294"/>
    </row>
    <row r="24" spans="1:12" s="295" customFormat="1" x14ac:dyDescent="0.2">
      <c r="A24" s="641" t="s">
        <v>387</v>
      </c>
      <c r="B24" s="499">
        <v>17071000</v>
      </c>
      <c r="C24" s="461">
        <v>16616293.619999999</v>
      </c>
      <c r="D24" s="461">
        <v>16430868.949999999</v>
      </c>
      <c r="E24" s="460">
        <f t="shared" si="4"/>
        <v>98.884079240289694</v>
      </c>
      <c r="F24" s="290">
        <v>101217</v>
      </c>
      <c r="G24" s="289" t="s">
        <v>152</v>
      </c>
      <c r="H24" s="294"/>
    </row>
    <row r="25" spans="1:12" s="295" customFormat="1" x14ac:dyDescent="0.2">
      <c r="A25" s="642"/>
      <c r="B25" s="499">
        <v>0</v>
      </c>
      <c r="C25" s="461">
        <v>2392055.2000000002</v>
      </c>
      <c r="D25" s="461">
        <v>2392055.2000000002</v>
      </c>
      <c r="E25" s="460">
        <f t="shared" si="4"/>
        <v>100</v>
      </c>
      <c r="F25" s="290">
        <v>101217</v>
      </c>
      <c r="G25" s="445" t="s">
        <v>366</v>
      </c>
      <c r="H25" s="294"/>
    </row>
    <row r="26" spans="1:12" s="295" customFormat="1" ht="25.5" customHeight="1" x14ac:dyDescent="0.2">
      <c r="A26" s="643" t="s">
        <v>388</v>
      </c>
      <c r="B26" s="499">
        <v>8159000</v>
      </c>
      <c r="C26" s="461">
        <v>8108440</v>
      </c>
      <c r="D26" s="461">
        <v>7348116.8899999997</v>
      </c>
      <c r="E26" s="460">
        <f t="shared" si="4"/>
        <v>90.623065472519997</v>
      </c>
      <c r="F26" s="290">
        <v>101218</v>
      </c>
      <c r="G26" s="289" t="s">
        <v>152</v>
      </c>
      <c r="H26" s="294"/>
    </row>
    <row r="27" spans="1:12" s="295" customFormat="1" x14ac:dyDescent="0.2">
      <c r="A27" s="644"/>
      <c r="B27" s="499">
        <v>0</v>
      </c>
      <c r="C27" s="461">
        <v>4193113</v>
      </c>
      <c r="D27" s="461">
        <v>4193112.82</v>
      </c>
      <c r="E27" s="460">
        <f t="shared" si="4"/>
        <v>99.999995707246612</v>
      </c>
      <c r="F27" s="290">
        <v>101218</v>
      </c>
      <c r="G27" s="445" t="s">
        <v>366</v>
      </c>
      <c r="H27" s="294"/>
    </row>
    <row r="28" spans="1:12" s="295" customFormat="1" x14ac:dyDescent="0.2">
      <c r="A28" s="643" t="s">
        <v>389</v>
      </c>
      <c r="B28" s="499">
        <v>6590000</v>
      </c>
      <c r="C28" s="461">
        <v>10939830.93</v>
      </c>
      <c r="D28" s="461">
        <v>10743962.359999999</v>
      </c>
      <c r="E28" s="460">
        <f t="shared" si="4"/>
        <v>98.209583207882361</v>
      </c>
      <c r="F28" s="290">
        <v>101225</v>
      </c>
      <c r="G28" s="289" t="s">
        <v>152</v>
      </c>
      <c r="H28" s="294"/>
    </row>
    <row r="29" spans="1:12" s="295" customFormat="1" x14ac:dyDescent="0.2">
      <c r="A29" s="644"/>
      <c r="B29" s="499">
        <v>0</v>
      </c>
      <c r="C29" s="461">
        <v>4064303.07</v>
      </c>
      <c r="D29" s="461">
        <v>4064303.07</v>
      </c>
      <c r="E29" s="460">
        <f t="shared" si="4"/>
        <v>100</v>
      </c>
      <c r="F29" s="290">
        <v>101225</v>
      </c>
      <c r="G29" s="445" t="s">
        <v>366</v>
      </c>
      <c r="H29" s="294"/>
    </row>
    <row r="30" spans="1:12" s="295" customFormat="1" ht="12.75" customHeight="1" x14ac:dyDescent="0.2">
      <c r="A30" s="609" t="s">
        <v>390</v>
      </c>
      <c r="B30" s="499">
        <v>3665000</v>
      </c>
      <c r="C30" s="461">
        <v>0</v>
      </c>
      <c r="D30" s="461">
        <v>0</v>
      </c>
      <c r="E30" s="460">
        <v>0</v>
      </c>
      <c r="F30" s="290">
        <v>101251</v>
      </c>
      <c r="G30" s="289" t="s">
        <v>152</v>
      </c>
      <c r="H30" s="294"/>
    </row>
    <row r="31" spans="1:12" s="295" customFormat="1" ht="12.75" customHeight="1" x14ac:dyDescent="0.2">
      <c r="A31" s="609" t="s">
        <v>391</v>
      </c>
      <c r="B31" s="499">
        <v>80000</v>
      </c>
      <c r="C31" s="461">
        <v>0</v>
      </c>
      <c r="D31" s="461">
        <v>0</v>
      </c>
      <c r="E31" s="460">
        <v>0</v>
      </c>
      <c r="F31" s="290">
        <v>101252</v>
      </c>
      <c r="G31" s="289" t="s">
        <v>152</v>
      </c>
      <c r="H31" s="294"/>
    </row>
    <row r="32" spans="1:12" s="295" customFormat="1" ht="12.75" customHeight="1" x14ac:dyDescent="0.2">
      <c r="A32" s="609" t="s">
        <v>392</v>
      </c>
      <c r="B32" s="499">
        <v>0</v>
      </c>
      <c r="C32" s="461">
        <v>2420</v>
      </c>
      <c r="D32" s="461">
        <v>2420</v>
      </c>
      <c r="E32" s="460">
        <f t="shared" si="4"/>
        <v>100</v>
      </c>
      <c r="F32" s="290">
        <v>101253</v>
      </c>
      <c r="G32" s="289" t="s">
        <v>152</v>
      </c>
      <c r="H32" s="294"/>
    </row>
    <row r="33" spans="1:8" s="295" customFormat="1" ht="25.5" customHeight="1" x14ac:dyDescent="0.2">
      <c r="A33" s="643" t="s">
        <v>393</v>
      </c>
      <c r="B33" s="499">
        <v>556000</v>
      </c>
      <c r="C33" s="461">
        <v>588107.35</v>
      </c>
      <c r="D33" s="461">
        <v>588107.34</v>
      </c>
      <c r="E33" s="460">
        <f t="shared" si="4"/>
        <v>99.99999829963015</v>
      </c>
      <c r="F33" s="290">
        <v>101254</v>
      </c>
      <c r="G33" s="289" t="s">
        <v>152</v>
      </c>
      <c r="H33" s="294"/>
    </row>
    <row r="34" spans="1:8" s="295" customFormat="1" x14ac:dyDescent="0.2">
      <c r="A34" s="644"/>
      <c r="B34" s="499">
        <v>0</v>
      </c>
      <c r="C34" s="461">
        <v>1166296.97</v>
      </c>
      <c r="D34" s="461">
        <v>1166296.97</v>
      </c>
      <c r="E34" s="460">
        <f t="shared" si="4"/>
        <v>100</v>
      </c>
      <c r="F34" s="290">
        <v>101254</v>
      </c>
      <c r="G34" s="445" t="s">
        <v>366</v>
      </c>
      <c r="H34" s="294"/>
    </row>
    <row r="35" spans="1:8" s="295" customFormat="1" x14ac:dyDescent="0.2">
      <c r="A35" s="641" t="s">
        <v>394</v>
      </c>
      <c r="B35" s="499">
        <v>4490000</v>
      </c>
      <c r="C35" s="461">
        <v>5592000</v>
      </c>
      <c r="D35" s="461">
        <v>5457292.0999999996</v>
      </c>
      <c r="E35" s="460">
        <f t="shared" si="4"/>
        <v>97.59106044349069</v>
      </c>
      <c r="F35" s="290">
        <v>101255</v>
      </c>
      <c r="G35" s="289" t="s">
        <v>363</v>
      </c>
      <c r="H35" s="294"/>
    </row>
    <row r="36" spans="1:8" s="295" customFormat="1" x14ac:dyDescent="0.2">
      <c r="A36" s="642"/>
      <c r="B36" s="499">
        <v>0</v>
      </c>
      <c r="C36" s="461">
        <v>7967114.4199999999</v>
      </c>
      <c r="D36" s="461">
        <v>7967114.4199999999</v>
      </c>
      <c r="E36" s="460">
        <f t="shared" si="4"/>
        <v>100</v>
      </c>
      <c r="F36" s="290">
        <v>101255</v>
      </c>
      <c r="G36" s="445" t="s">
        <v>366</v>
      </c>
      <c r="H36" s="294"/>
    </row>
    <row r="37" spans="1:8" s="295" customFormat="1" ht="25.5" x14ac:dyDescent="0.2">
      <c r="A37" s="610" t="s">
        <v>577</v>
      </c>
      <c r="B37" s="499">
        <v>500000</v>
      </c>
      <c r="C37" s="461">
        <v>189680</v>
      </c>
      <c r="D37" s="461">
        <v>50699</v>
      </c>
      <c r="E37" s="460">
        <f t="shared" si="4"/>
        <v>26.728700970054831</v>
      </c>
      <c r="F37" s="290">
        <v>101283</v>
      </c>
      <c r="G37" s="289" t="s">
        <v>152</v>
      </c>
      <c r="H37" s="294"/>
    </row>
    <row r="38" spans="1:8" s="295" customFormat="1" x14ac:dyDescent="0.2">
      <c r="A38" s="458" t="s">
        <v>395</v>
      </c>
      <c r="B38" s="499">
        <v>500000</v>
      </c>
      <c r="C38" s="461">
        <v>474320</v>
      </c>
      <c r="D38" s="461">
        <v>474320</v>
      </c>
      <c r="E38" s="460">
        <f t="shared" si="4"/>
        <v>100</v>
      </c>
      <c r="F38" s="290">
        <v>101315</v>
      </c>
      <c r="G38" s="289" t="s">
        <v>152</v>
      </c>
      <c r="H38" s="294"/>
    </row>
    <row r="39" spans="1:8" s="295" customFormat="1" x14ac:dyDescent="0.2">
      <c r="A39" s="641" t="s">
        <v>396</v>
      </c>
      <c r="B39" s="499">
        <v>3857000</v>
      </c>
      <c r="C39" s="461">
        <v>3907000</v>
      </c>
      <c r="D39" s="461">
        <v>3317489.65</v>
      </c>
      <c r="E39" s="460">
        <f t="shared" si="4"/>
        <v>84.911432045047349</v>
      </c>
      <c r="F39" s="290">
        <v>101317</v>
      </c>
      <c r="G39" s="289" t="s">
        <v>364</v>
      </c>
      <c r="H39" s="294"/>
    </row>
    <row r="40" spans="1:8" s="295" customFormat="1" x14ac:dyDescent="0.2">
      <c r="A40" s="642"/>
      <c r="B40" s="499">
        <v>0</v>
      </c>
      <c r="C40" s="461">
        <v>2701421.8</v>
      </c>
      <c r="D40" s="461">
        <v>2701421.8</v>
      </c>
      <c r="E40" s="460">
        <f t="shared" si="4"/>
        <v>100</v>
      </c>
      <c r="F40" s="290">
        <v>101317</v>
      </c>
      <c r="G40" s="445" t="s">
        <v>366</v>
      </c>
      <c r="H40" s="294"/>
    </row>
    <row r="41" spans="1:8" s="295" customFormat="1" x14ac:dyDescent="0.2">
      <c r="A41" s="641" t="s">
        <v>525</v>
      </c>
      <c r="B41" s="499">
        <v>770000</v>
      </c>
      <c r="C41" s="461">
        <v>896903.5</v>
      </c>
      <c r="D41" s="461">
        <v>884233.37</v>
      </c>
      <c r="E41" s="460">
        <f t="shared" si="4"/>
        <v>98.587347468261626</v>
      </c>
      <c r="F41" s="290">
        <v>101318</v>
      </c>
      <c r="G41" s="289" t="s">
        <v>152</v>
      </c>
      <c r="H41" s="294"/>
    </row>
    <row r="42" spans="1:8" s="295" customFormat="1" x14ac:dyDescent="0.2">
      <c r="A42" s="642"/>
      <c r="B42" s="499">
        <v>0</v>
      </c>
      <c r="C42" s="461">
        <v>1009580.93</v>
      </c>
      <c r="D42" s="461">
        <v>1009580.93</v>
      </c>
      <c r="E42" s="460">
        <f t="shared" si="4"/>
        <v>100</v>
      </c>
      <c r="F42" s="290">
        <v>101318</v>
      </c>
      <c r="G42" s="445" t="s">
        <v>366</v>
      </c>
      <c r="H42" s="294"/>
    </row>
    <row r="43" spans="1:8" s="295" customFormat="1" x14ac:dyDescent="0.2">
      <c r="A43" s="641" t="s">
        <v>526</v>
      </c>
      <c r="B43" s="499">
        <v>645000</v>
      </c>
      <c r="C43" s="461">
        <v>1278065.3999999999</v>
      </c>
      <c r="D43" s="461">
        <v>886688.65</v>
      </c>
      <c r="E43" s="460">
        <f t="shared" si="4"/>
        <v>69.377408229657107</v>
      </c>
      <c r="F43" s="290">
        <v>101319</v>
      </c>
      <c r="G43" s="289" t="s">
        <v>152</v>
      </c>
      <c r="H43" s="294"/>
    </row>
    <row r="44" spans="1:8" s="295" customFormat="1" x14ac:dyDescent="0.2">
      <c r="A44" s="642"/>
      <c r="B44" s="499">
        <v>0</v>
      </c>
      <c r="C44" s="461">
        <v>926003.23</v>
      </c>
      <c r="D44" s="461">
        <v>926003.23</v>
      </c>
      <c r="E44" s="460">
        <f t="shared" si="4"/>
        <v>100</v>
      </c>
      <c r="F44" s="290">
        <v>101319</v>
      </c>
      <c r="G44" s="445" t="s">
        <v>366</v>
      </c>
      <c r="H44" s="294"/>
    </row>
    <row r="45" spans="1:8" s="295" customFormat="1" ht="25.5" x14ac:dyDescent="0.2">
      <c r="A45" s="458" t="s">
        <v>397</v>
      </c>
      <c r="B45" s="499">
        <v>200000</v>
      </c>
      <c r="C45" s="461">
        <v>200000</v>
      </c>
      <c r="D45" s="461">
        <v>48209</v>
      </c>
      <c r="E45" s="460">
        <f t="shared" si="4"/>
        <v>24.104500000000002</v>
      </c>
      <c r="F45" s="290">
        <v>101344</v>
      </c>
      <c r="G45" s="289" t="s">
        <v>152</v>
      </c>
      <c r="H45" s="294"/>
    </row>
    <row r="46" spans="1:8" s="295" customFormat="1" x14ac:dyDescent="0.2">
      <c r="A46" s="458" t="s">
        <v>398</v>
      </c>
      <c r="B46" s="499">
        <v>600000</v>
      </c>
      <c r="C46" s="461">
        <v>256347</v>
      </c>
      <c r="D46" s="461">
        <v>182605</v>
      </c>
      <c r="E46" s="460">
        <f t="shared" si="4"/>
        <v>71.233523310200624</v>
      </c>
      <c r="F46" s="290">
        <v>101351</v>
      </c>
      <c r="G46" s="289" t="s">
        <v>152</v>
      </c>
      <c r="H46" s="294"/>
    </row>
    <row r="47" spans="1:8" s="295" customFormat="1" x14ac:dyDescent="0.2">
      <c r="A47" s="458" t="s">
        <v>399</v>
      </c>
      <c r="B47" s="499">
        <v>400000</v>
      </c>
      <c r="C47" s="461">
        <v>328494.78999999998</v>
      </c>
      <c r="D47" s="461">
        <v>264180</v>
      </c>
      <c r="E47" s="460">
        <f t="shared" si="4"/>
        <v>80.421366804630296</v>
      </c>
      <c r="F47" s="290">
        <v>101352</v>
      </c>
      <c r="G47" s="289" t="s">
        <v>152</v>
      </c>
      <c r="H47" s="294"/>
    </row>
    <row r="48" spans="1:8" s="295" customFormat="1" x14ac:dyDescent="0.2">
      <c r="A48" s="458" t="s">
        <v>400</v>
      </c>
      <c r="B48" s="499">
        <v>300000</v>
      </c>
      <c r="C48" s="461">
        <v>537939.47</v>
      </c>
      <c r="D48" s="461">
        <v>77682</v>
      </c>
      <c r="E48" s="460">
        <f t="shared" si="4"/>
        <v>14.440658165499551</v>
      </c>
      <c r="F48" s="290">
        <v>101353</v>
      </c>
      <c r="G48" s="289" t="s">
        <v>152</v>
      </c>
      <c r="H48" s="294"/>
    </row>
    <row r="49" spans="1:8" s="295" customFormat="1" x14ac:dyDescent="0.2">
      <c r="A49" s="612" t="s">
        <v>527</v>
      </c>
      <c r="B49" s="499">
        <v>400000</v>
      </c>
      <c r="C49" s="461">
        <v>206780</v>
      </c>
      <c r="D49" s="461">
        <v>206625</v>
      </c>
      <c r="E49" s="460">
        <f t="shared" si="4"/>
        <v>99.925041106489985</v>
      </c>
      <c r="F49" s="290">
        <v>101354</v>
      </c>
      <c r="G49" s="289" t="s">
        <v>152</v>
      </c>
      <c r="H49" s="294"/>
    </row>
    <row r="50" spans="1:8" s="295" customFormat="1" ht="25.5" x14ac:dyDescent="0.2">
      <c r="A50" s="612" t="s">
        <v>528</v>
      </c>
      <c r="B50" s="499">
        <v>0</v>
      </c>
      <c r="C50" s="461">
        <v>41503</v>
      </c>
      <c r="D50" s="461">
        <v>40535</v>
      </c>
      <c r="E50" s="460">
        <f t="shared" si="4"/>
        <v>97.667638483965007</v>
      </c>
      <c r="F50" s="290">
        <v>101419</v>
      </c>
      <c r="G50" s="289" t="s">
        <v>152</v>
      </c>
      <c r="H50" s="294"/>
    </row>
    <row r="51" spans="1:8" s="295" customFormat="1" ht="25.5" x14ac:dyDescent="0.2">
      <c r="A51" s="625" t="s">
        <v>529</v>
      </c>
      <c r="B51" s="499">
        <v>0</v>
      </c>
      <c r="C51" s="461">
        <v>114902</v>
      </c>
      <c r="D51" s="461">
        <v>107833.60000000001</v>
      </c>
      <c r="E51" s="460">
        <f t="shared" si="4"/>
        <v>93.848322918661125</v>
      </c>
      <c r="F51" s="290">
        <v>101420</v>
      </c>
      <c r="G51" s="289" t="s">
        <v>152</v>
      </c>
      <c r="H51" s="294"/>
    </row>
    <row r="52" spans="1:8" s="295" customFormat="1" ht="25.5" x14ac:dyDescent="0.2">
      <c r="A52" s="612" t="s">
        <v>530</v>
      </c>
      <c r="B52" s="499">
        <v>0</v>
      </c>
      <c r="C52" s="461">
        <v>165770</v>
      </c>
      <c r="D52" s="461">
        <v>0</v>
      </c>
      <c r="E52" s="460">
        <f t="shared" si="4"/>
        <v>0</v>
      </c>
      <c r="F52" s="290">
        <v>101421</v>
      </c>
      <c r="G52" s="289" t="s">
        <v>152</v>
      </c>
      <c r="H52" s="294"/>
    </row>
    <row r="53" spans="1:8" s="295" customFormat="1" x14ac:dyDescent="0.2">
      <c r="A53" s="612" t="s">
        <v>531</v>
      </c>
      <c r="B53" s="499">
        <v>0</v>
      </c>
      <c r="C53" s="461">
        <v>136488</v>
      </c>
      <c r="D53" s="461">
        <v>117370</v>
      </c>
      <c r="E53" s="460">
        <f t="shared" si="4"/>
        <v>85.99290780141844</v>
      </c>
      <c r="F53" s="290">
        <v>101422</v>
      </c>
      <c r="G53" s="289" t="s">
        <v>152</v>
      </c>
      <c r="H53" s="294"/>
    </row>
    <row r="54" spans="1:8" s="295" customFormat="1" ht="25.5" x14ac:dyDescent="0.2">
      <c r="A54" s="612" t="s">
        <v>532</v>
      </c>
      <c r="B54" s="499">
        <v>0</v>
      </c>
      <c r="C54" s="461">
        <v>132556</v>
      </c>
      <c r="D54" s="461">
        <v>113437.5</v>
      </c>
      <c r="E54" s="460">
        <f t="shared" si="4"/>
        <v>85.577039138175564</v>
      </c>
      <c r="F54" s="290">
        <v>101423</v>
      </c>
      <c r="G54" s="289" t="s">
        <v>152</v>
      </c>
      <c r="H54" s="294"/>
    </row>
    <row r="55" spans="1:8" s="295" customFormat="1" ht="25.5" x14ac:dyDescent="0.2">
      <c r="A55" s="612" t="s">
        <v>88</v>
      </c>
      <c r="B55" s="499">
        <v>0</v>
      </c>
      <c r="C55" s="461">
        <v>129228</v>
      </c>
      <c r="D55" s="461">
        <v>0</v>
      </c>
      <c r="E55" s="460">
        <f t="shared" si="4"/>
        <v>0</v>
      </c>
      <c r="F55" s="290">
        <v>101424</v>
      </c>
      <c r="G55" s="289" t="s">
        <v>152</v>
      </c>
      <c r="H55" s="294"/>
    </row>
    <row r="56" spans="1:8" s="295" customFormat="1" x14ac:dyDescent="0.2">
      <c r="A56" s="612" t="s">
        <v>533</v>
      </c>
      <c r="B56" s="499">
        <v>0</v>
      </c>
      <c r="C56" s="461">
        <v>320000</v>
      </c>
      <c r="D56" s="461">
        <v>6655</v>
      </c>
      <c r="E56" s="460">
        <f t="shared" si="4"/>
        <v>2.0796874999999999</v>
      </c>
      <c r="F56" s="290">
        <v>101436</v>
      </c>
      <c r="G56" s="289" t="s">
        <v>78</v>
      </c>
      <c r="H56" s="294"/>
    </row>
    <row r="57" spans="1:8" s="295" customFormat="1" ht="25.5" customHeight="1" x14ac:dyDescent="0.2">
      <c r="A57" s="609" t="s">
        <v>90</v>
      </c>
      <c r="B57" s="499">
        <v>0</v>
      </c>
      <c r="C57" s="461">
        <v>3069000</v>
      </c>
      <c r="D57" s="461">
        <v>3040099</v>
      </c>
      <c r="E57" s="460">
        <f t="shared" si="4"/>
        <v>99.058292603453893</v>
      </c>
      <c r="F57" s="290">
        <v>101124</v>
      </c>
      <c r="G57" s="614" t="s">
        <v>516</v>
      </c>
      <c r="H57" s="294"/>
    </row>
    <row r="58" spans="1:8" s="295" customFormat="1" ht="25.5" customHeight="1" x14ac:dyDescent="0.2">
      <c r="A58" s="641" t="s">
        <v>91</v>
      </c>
      <c r="B58" s="499">
        <v>0</v>
      </c>
      <c r="C58" s="461">
        <v>560100</v>
      </c>
      <c r="D58" s="461">
        <v>558996.71</v>
      </c>
      <c r="E58" s="460">
        <f t="shared" si="4"/>
        <v>99.803019103731472</v>
      </c>
      <c r="F58" s="290">
        <v>101154</v>
      </c>
      <c r="G58" s="614" t="s">
        <v>516</v>
      </c>
      <c r="H58" s="294"/>
    </row>
    <row r="59" spans="1:8" s="295" customFormat="1" x14ac:dyDescent="0.2">
      <c r="A59" s="642"/>
      <c r="B59" s="499">
        <v>0</v>
      </c>
      <c r="C59" s="461">
        <v>5030970.37</v>
      </c>
      <c r="D59" s="461">
        <v>5030970.37</v>
      </c>
      <c r="E59" s="460">
        <f t="shared" si="4"/>
        <v>100</v>
      </c>
      <c r="F59" s="290">
        <v>101154</v>
      </c>
      <c r="G59" s="556" t="s">
        <v>517</v>
      </c>
      <c r="H59" s="294"/>
    </row>
    <row r="60" spans="1:8" s="295" customFormat="1" ht="51" customHeight="1" x14ac:dyDescent="0.2">
      <c r="A60" s="641" t="s">
        <v>92</v>
      </c>
      <c r="B60" s="499">
        <v>0</v>
      </c>
      <c r="C60" s="461">
        <v>117200</v>
      </c>
      <c r="D60" s="461">
        <v>117151</v>
      </c>
      <c r="E60" s="460">
        <f t="shared" si="4"/>
        <v>99.958191126279857</v>
      </c>
      <c r="F60" s="290">
        <v>101157</v>
      </c>
      <c r="G60" s="614" t="s">
        <v>516</v>
      </c>
    </row>
    <row r="61" spans="1:8" s="295" customFormat="1" x14ac:dyDescent="0.2">
      <c r="A61" s="642"/>
      <c r="B61" s="499">
        <v>0</v>
      </c>
      <c r="C61" s="461">
        <v>1054358.8999999999</v>
      </c>
      <c r="D61" s="461">
        <v>1054358.8999999999</v>
      </c>
      <c r="E61" s="460">
        <f t="shared" si="4"/>
        <v>100</v>
      </c>
      <c r="F61" s="290">
        <v>101157</v>
      </c>
      <c r="G61" s="556" t="s">
        <v>517</v>
      </c>
      <c r="H61" s="557"/>
    </row>
    <row r="62" spans="1:8" s="295" customFormat="1" x14ac:dyDescent="0.2">
      <c r="A62" s="643" t="s">
        <v>233</v>
      </c>
      <c r="B62" s="499">
        <v>0</v>
      </c>
      <c r="C62" s="461">
        <v>265000</v>
      </c>
      <c r="D62" s="461">
        <v>261041.34</v>
      </c>
      <c r="E62" s="287">
        <f t="shared" ref="E62:E64" si="5">D62/C62*100</f>
        <v>98.506166037735838</v>
      </c>
      <c r="F62" s="290">
        <v>101258</v>
      </c>
      <c r="G62" s="614" t="s">
        <v>516</v>
      </c>
      <c r="H62" s="296"/>
    </row>
    <row r="63" spans="1:8" s="295" customFormat="1" x14ac:dyDescent="0.2">
      <c r="A63" s="644"/>
      <c r="B63" s="501">
        <v>0</v>
      </c>
      <c r="C63" s="334">
        <v>1302510.1399999999</v>
      </c>
      <c r="D63" s="334">
        <v>1302510.1399999999</v>
      </c>
      <c r="E63" s="287">
        <f t="shared" si="5"/>
        <v>100</v>
      </c>
      <c r="F63" s="290">
        <v>101258</v>
      </c>
      <c r="G63" s="556" t="s">
        <v>517</v>
      </c>
      <c r="H63" s="296"/>
    </row>
    <row r="64" spans="1:8" s="295" customFormat="1" ht="13.5" thickBot="1" x14ac:dyDescent="0.25">
      <c r="A64" s="462" t="s">
        <v>534</v>
      </c>
      <c r="B64" s="502">
        <v>0</v>
      </c>
      <c r="C64" s="463">
        <v>220000</v>
      </c>
      <c r="D64" s="463">
        <v>218889</v>
      </c>
      <c r="E64" s="438">
        <f t="shared" si="5"/>
        <v>99.495000000000005</v>
      </c>
      <c r="F64" s="290">
        <v>101355</v>
      </c>
      <c r="G64" s="614" t="s">
        <v>516</v>
      </c>
      <c r="H64" s="296"/>
    </row>
    <row r="65" spans="1:12" s="295" customFormat="1" ht="13.5" thickTop="1" x14ac:dyDescent="0.2">
      <c r="A65" s="299"/>
      <c r="B65" s="300"/>
      <c r="C65" s="301"/>
      <c r="D65" s="301"/>
      <c r="E65" s="302"/>
      <c r="F65" s="290"/>
      <c r="G65" s="297"/>
      <c r="H65" s="296"/>
    </row>
    <row r="66" spans="1:12" ht="15.75" thickBot="1" x14ac:dyDescent="0.25">
      <c r="A66" s="303" t="s">
        <v>29</v>
      </c>
      <c r="B66" s="503"/>
      <c r="C66" s="304"/>
      <c r="D66" s="305"/>
      <c r="E66" s="306" t="s">
        <v>18</v>
      </c>
    </row>
    <row r="67" spans="1:12" ht="14.25" thickTop="1" thickBot="1" x14ac:dyDescent="0.25">
      <c r="A67" s="272" t="s">
        <v>5</v>
      </c>
      <c r="B67" s="273" t="s">
        <v>0</v>
      </c>
      <c r="C67" s="274" t="s">
        <v>1</v>
      </c>
      <c r="D67" s="275" t="s">
        <v>4</v>
      </c>
      <c r="E67" s="276" t="s">
        <v>6</v>
      </c>
    </row>
    <row r="68" spans="1:12" ht="15.75" thickTop="1" x14ac:dyDescent="0.2">
      <c r="A68" s="277" t="s">
        <v>7</v>
      </c>
      <c r="B68" s="278">
        <f>SUM(B69:B76)</f>
        <v>5825000</v>
      </c>
      <c r="C68" s="278">
        <f t="shared" ref="C68:D68" si="6">SUM(C69:C76)</f>
        <v>1274261.9300000002</v>
      </c>
      <c r="D68" s="278">
        <f t="shared" si="6"/>
        <v>961388.28</v>
      </c>
      <c r="E68" s="307">
        <f>D68/C68*100</f>
        <v>75.446676806863394</v>
      </c>
      <c r="F68" s="265"/>
    </row>
    <row r="69" spans="1:12" x14ac:dyDescent="0.2">
      <c r="A69" s="393" t="s">
        <v>410</v>
      </c>
      <c r="B69" s="501">
        <v>1845000</v>
      </c>
      <c r="C69" s="334">
        <v>185000</v>
      </c>
      <c r="D69" s="334">
        <v>185000</v>
      </c>
      <c r="E69" s="287">
        <f t="shared" ref="E69:E76" si="7">D69/C69*100</f>
        <v>100</v>
      </c>
      <c r="F69" s="290">
        <v>1123</v>
      </c>
      <c r="G69" s="308" t="s">
        <v>520</v>
      </c>
    </row>
    <row r="70" spans="1:12" x14ac:dyDescent="0.2">
      <c r="A70" s="393" t="s">
        <v>312</v>
      </c>
      <c r="B70" s="501">
        <v>1700000</v>
      </c>
      <c r="C70" s="334">
        <v>170000</v>
      </c>
      <c r="D70" s="334">
        <v>153536.9</v>
      </c>
      <c r="E70" s="287">
        <f t="shared" si="7"/>
        <v>90.315823529411759</v>
      </c>
      <c r="F70" s="290">
        <v>1132</v>
      </c>
      <c r="G70" s="308" t="s">
        <v>520</v>
      </c>
    </row>
    <row r="71" spans="1:12" x14ac:dyDescent="0.2">
      <c r="A71" s="393" t="s">
        <v>305</v>
      </c>
      <c r="B71" s="501">
        <v>1845000</v>
      </c>
      <c r="C71" s="334">
        <v>185112</v>
      </c>
      <c r="D71" s="334">
        <v>169400</v>
      </c>
      <c r="E71" s="287">
        <f t="shared" si="7"/>
        <v>91.512165607848218</v>
      </c>
      <c r="F71" s="290">
        <v>1134</v>
      </c>
      <c r="G71" s="308" t="s">
        <v>375</v>
      </c>
    </row>
    <row r="72" spans="1:12" ht="12.75" customHeight="1" x14ac:dyDescent="0.2">
      <c r="A72" s="609" t="s">
        <v>315</v>
      </c>
      <c r="B72" s="501">
        <f>0+273000</f>
        <v>273000</v>
      </c>
      <c r="C72" s="334">
        <f>34710.05+273000</f>
        <v>307710.05</v>
      </c>
      <c r="D72" s="334">
        <f>34710.05+74510.59</f>
        <v>109220.64</v>
      </c>
      <c r="E72" s="287">
        <f t="shared" si="7"/>
        <v>35.494661289093422</v>
      </c>
      <c r="F72" s="290">
        <v>1142</v>
      </c>
      <c r="G72" s="308" t="s">
        <v>520</v>
      </c>
    </row>
    <row r="73" spans="1:12" ht="12.75" customHeight="1" x14ac:dyDescent="0.2">
      <c r="A73" s="609" t="s">
        <v>318</v>
      </c>
      <c r="B73" s="501">
        <v>0</v>
      </c>
      <c r="C73" s="334">
        <v>11731.48</v>
      </c>
      <c r="D73" s="334">
        <v>11731.48</v>
      </c>
      <c r="E73" s="287">
        <f t="shared" si="7"/>
        <v>100</v>
      </c>
      <c r="F73" s="290">
        <v>1160</v>
      </c>
      <c r="G73" s="308" t="s">
        <v>520</v>
      </c>
    </row>
    <row r="74" spans="1:12" ht="25.5" x14ac:dyDescent="0.2">
      <c r="A74" s="393" t="s">
        <v>319</v>
      </c>
      <c r="B74" s="501">
        <v>162000</v>
      </c>
      <c r="C74" s="334">
        <v>162000</v>
      </c>
      <c r="D74" s="334">
        <v>140144.4</v>
      </c>
      <c r="E74" s="287">
        <f t="shared" si="7"/>
        <v>86.50888888888889</v>
      </c>
      <c r="F74" s="290">
        <v>1175</v>
      </c>
      <c r="G74" s="308" t="s">
        <v>520</v>
      </c>
      <c r="I74" s="285" t="s">
        <v>40</v>
      </c>
      <c r="J74" s="318">
        <f>B8+B9+B10+B12++B16+B17+B19+B21+B22+B23+B24+B26+B28+B30+B31+B32+B33+B35+B37+B38+B39+B41+B43+B45+B46+B47+B48+B49+B50+B51+B52+B53+B54+B55+B56+B14</f>
        <v>131820000</v>
      </c>
      <c r="K74" s="318">
        <f>C8+C9+C10+C12++C16+C17+C19+C21+C22+C23+C24+C26+C28+C30+C31+C32+C33+C35+C37+C38+C39+C41+C43+C45+C46+C47+C48+C49+C50+C51+C52+C53+C54+C55+C56+C14</f>
        <v>134710131.43000001</v>
      </c>
      <c r="L74" s="318">
        <f>D8+D9+D10+D12++D16+D17+D19+D21+D22+D23+D24+D26+D28+D30+D31+D32+D33+D35+D37+D38+D39+D41+D43+D45+D46+D47+D48+D49+D50+D51+D52+D53+D54+D55+D56+D14</f>
        <v>128057933.29000002</v>
      </c>
    </row>
    <row r="75" spans="1:12" x14ac:dyDescent="0.2">
      <c r="A75" s="609" t="s">
        <v>321</v>
      </c>
      <c r="B75" s="501">
        <v>0</v>
      </c>
      <c r="C75" s="334">
        <v>15708.4</v>
      </c>
      <c r="D75" s="334">
        <v>15708.4</v>
      </c>
      <c r="E75" s="287">
        <f t="shared" si="7"/>
        <v>100</v>
      </c>
      <c r="F75" s="290">
        <v>1206</v>
      </c>
      <c r="G75" s="308" t="s">
        <v>520</v>
      </c>
      <c r="J75" s="561">
        <f>B11+B13+B15+B18+B20+B25+B27+B29+B34+B36+B40+B42+B44</f>
        <v>0</v>
      </c>
      <c r="K75" s="561">
        <f>C11+C13+C15+C18+C20+C25+C27+C29+C34+C36+C40+C42+C44</f>
        <v>50327248.849999987</v>
      </c>
      <c r="L75" s="561">
        <f>D11+D13+D15+D18+D20+D25+D27+D29+D34+D36+D40+D42+D44</f>
        <v>50327248.659999989</v>
      </c>
    </row>
    <row r="76" spans="1:12" ht="13.5" thickBot="1" x14ac:dyDescent="0.25">
      <c r="A76" s="462" t="s">
        <v>323</v>
      </c>
      <c r="B76" s="502">
        <v>0</v>
      </c>
      <c r="C76" s="463">
        <v>237000</v>
      </c>
      <c r="D76" s="463">
        <v>176646.46</v>
      </c>
      <c r="E76" s="438">
        <f t="shared" si="7"/>
        <v>74.534371308016873</v>
      </c>
      <c r="F76" s="290">
        <v>1226</v>
      </c>
      <c r="G76" s="308" t="s">
        <v>520</v>
      </c>
      <c r="I76" s="443" t="s">
        <v>36</v>
      </c>
      <c r="J76" s="441">
        <f>B57+B58+B60+B62+B64</f>
        <v>0</v>
      </c>
      <c r="K76" s="441">
        <f>C57+C58+C60+C62+C64</f>
        <v>4231300</v>
      </c>
      <c r="L76" s="441">
        <f>D57+D58+D60+D62+D64</f>
        <v>4196177.05</v>
      </c>
    </row>
    <row r="77" spans="1:12" s="312" customFormat="1" ht="13.5" thickTop="1" x14ac:dyDescent="0.2">
      <c r="A77" s="316"/>
      <c r="B77" s="300"/>
      <c r="C77" s="317"/>
      <c r="D77" s="300"/>
      <c r="E77" s="302"/>
      <c r="F77" s="314"/>
      <c r="G77" s="313"/>
      <c r="I77" s="264"/>
      <c r="J77" s="561">
        <f>B59+B61+B63</f>
        <v>0</v>
      </c>
      <c r="K77" s="561">
        <f>C59+C61+C63</f>
        <v>7387839.4099999992</v>
      </c>
      <c r="L77" s="561">
        <f>D59+D61+D63</f>
        <v>7387839.4099999992</v>
      </c>
    </row>
    <row r="78" spans="1:12" s="312" customFormat="1" x14ac:dyDescent="0.2">
      <c r="A78" s="316"/>
      <c r="B78" s="300"/>
      <c r="C78" s="317"/>
      <c r="D78" s="300"/>
      <c r="E78" s="302"/>
      <c r="F78" s="314"/>
      <c r="G78" s="313"/>
      <c r="H78" s="308"/>
      <c r="I78" s="319" t="s">
        <v>34</v>
      </c>
      <c r="J78" s="320">
        <f>B69+B70+B71+B72+B73+B74+B75+B76</f>
        <v>5825000</v>
      </c>
      <c r="K78" s="320">
        <f>C69+C70+C71+C72+C73+C74+C75+C76</f>
        <v>1274261.9300000002</v>
      </c>
      <c r="L78" s="320">
        <f>D69+D70+D71+D72+D73+D74+D75+D76</f>
        <v>961388.28</v>
      </c>
    </row>
    <row r="79" spans="1:12" s="326" customFormat="1" ht="18.75" thickBot="1" x14ac:dyDescent="0.3">
      <c r="A79" s="321" t="s">
        <v>20</v>
      </c>
      <c r="B79" s="504">
        <f>SUM(B68,B7)</f>
        <v>137645000</v>
      </c>
      <c r="C79" s="504">
        <f>SUM(C68,C7)</f>
        <v>197930781.62</v>
      </c>
      <c r="D79" s="504">
        <f>SUM(D68,D7)</f>
        <v>190930586.69</v>
      </c>
      <c r="E79" s="323">
        <f>D79/C79*100</f>
        <v>96.463311632124288</v>
      </c>
      <c r="F79" s="324"/>
      <c r="G79" s="325"/>
      <c r="H79" s="325"/>
      <c r="I79" s="285"/>
      <c r="J79" s="292">
        <f>SUM(J74:J78)</f>
        <v>137645000</v>
      </c>
      <c r="K79" s="292">
        <f>SUM(K74:K78)</f>
        <v>197930781.62</v>
      </c>
      <c r="L79" s="292">
        <f>SUM(L74:L78)</f>
        <v>190930586.69000003</v>
      </c>
    </row>
    <row r="80" spans="1:12" ht="13.5" thickTop="1" x14ac:dyDescent="0.2">
      <c r="A80" s="327"/>
      <c r="B80" s="300"/>
      <c r="C80" s="328"/>
      <c r="D80" s="329"/>
      <c r="E80" s="302"/>
      <c r="F80" s="265"/>
    </row>
    <row r="81" spans="1:8" x14ac:dyDescent="0.2">
      <c r="A81" s="327"/>
      <c r="B81" s="300"/>
      <c r="C81" s="328"/>
      <c r="D81" s="329"/>
      <c r="E81" s="302"/>
      <c r="F81" s="265"/>
    </row>
    <row r="82" spans="1:8" ht="18" x14ac:dyDescent="0.25">
      <c r="A82" s="268" t="s">
        <v>28</v>
      </c>
      <c r="B82" s="260"/>
    </row>
    <row r="83" spans="1:8" ht="15" customHeight="1" thickBot="1" x14ac:dyDescent="0.3">
      <c r="A83" s="269" t="s">
        <v>125</v>
      </c>
      <c r="B83" s="260"/>
      <c r="E83" s="271" t="s">
        <v>18</v>
      </c>
    </row>
    <row r="84" spans="1:8" ht="14.25" thickTop="1" thickBot="1" x14ac:dyDescent="0.25">
      <c r="A84" s="272" t="s">
        <v>5</v>
      </c>
      <c r="B84" s="273" t="s">
        <v>0</v>
      </c>
      <c r="C84" s="274" t="s">
        <v>1</v>
      </c>
      <c r="D84" s="275" t="s">
        <v>4</v>
      </c>
      <c r="E84" s="276" t="s">
        <v>6</v>
      </c>
    </row>
    <row r="85" spans="1:8" ht="15.75" thickTop="1" x14ac:dyDescent="0.25">
      <c r="A85" s="277" t="s">
        <v>9</v>
      </c>
      <c r="B85" s="278">
        <f>SUM(B86:B101)</f>
        <v>22352000</v>
      </c>
      <c r="C85" s="278">
        <f t="shared" ref="C85:D85" si="8">SUM(C86:C101)</f>
        <v>46392672.849999994</v>
      </c>
      <c r="D85" s="278">
        <f t="shared" si="8"/>
        <v>30957150.309999999</v>
      </c>
      <c r="E85" s="279">
        <f>D85/C85*100</f>
        <v>66.728533641708481</v>
      </c>
      <c r="F85" s="330"/>
    </row>
    <row r="86" spans="1:8" s="332" customFormat="1" x14ac:dyDescent="0.2">
      <c r="A86" s="464" t="s">
        <v>95</v>
      </c>
      <c r="B86" s="499">
        <v>4000000</v>
      </c>
      <c r="C86" s="461">
        <v>570000</v>
      </c>
      <c r="D86" s="461">
        <v>225520</v>
      </c>
      <c r="E86" s="460">
        <f>D86/C86*100</f>
        <v>39.564912280701755</v>
      </c>
      <c r="F86" s="533">
        <v>101137</v>
      </c>
      <c r="G86" s="289" t="s">
        <v>152</v>
      </c>
    </row>
    <row r="87" spans="1:8" s="332" customFormat="1" x14ac:dyDescent="0.2">
      <c r="A87" s="641" t="s">
        <v>96</v>
      </c>
      <c r="B87" s="499">
        <v>2346000</v>
      </c>
      <c r="C87" s="461">
        <v>2962760.69</v>
      </c>
      <c r="D87" s="461">
        <v>2959134.73</v>
      </c>
      <c r="E87" s="460">
        <f>D87/C87*100</f>
        <v>99.877615495161706</v>
      </c>
      <c r="F87" s="533">
        <v>101139</v>
      </c>
      <c r="G87" s="289" t="s">
        <v>152</v>
      </c>
      <c r="H87" s="335"/>
    </row>
    <row r="88" spans="1:8" s="332" customFormat="1" x14ac:dyDescent="0.2">
      <c r="A88" s="642"/>
      <c r="B88" s="500">
        <v>0</v>
      </c>
      <c r="C88" s="333">
        <v>3840653.16</v>
      </c>
      <c r="D88" s="333">
        <v>3840653.16</v>
      </c>
      <c r="E88" s="460">
        <f>D88/C88*100</f>
        <v>100</v>
      </c>
      <c r="F88" s="533">
        <v>101139</v>
      </c>
      <c r="G88" s="445" t="s">
        <v>367</v>
      </c>
      <c r="H88" s="335"/>
    </row>
    <row r="89" spans="1:8" s="332" customFormat="1" ht="25.5" customHeight="1" x14ac:dyDescent="0.2">
      <c r="A89" s="651" t="s">
        <v>161</v>
      </c>
      <c r="B89" s="500">
        <v>1297000</v>
      </c>
      <c r="C89" s="333">
        <v>1297000</v>
      </c>
      <c r="D89" s="333">
        <v>325460.31</v>
      </c>
      <c r="E89" s="286">
        <f t="shared" ref="E89:E90" si="9">D89/C89*100</f>
        <v>25.093316114109481</v>
      </c>
      <c r="F89" s="533">
        <v>101178</v>
      </c>
      <c r="G89" s="289" t="s">
        <v>152</v>
      </c>
      <c r="H89" s="335"/>
    </row>
    <row r="90" spans="1:8" s="332" customFormat="1" x14ac:dyDescent="0.2">
      <c r="A90" s="652"/>
      <c r="B90" s="500">
        <v>0</v>
      </c>
      <c r="C90" s="333">
        <v>1946882.93</v>
      </c>
      <c r="D90" s="333">
        <v>1946882.93</v>
      </c>
      <c r="E90" s="286">
        <f t="shared" si="9"/>
        <v>100</v>
      </c>
      <c r="F90" s="533">
        <v>101178</v>
      </c>
      <c r="G90" s="445" t="s">
        <v>367</v>
      </c>
      <c r="H90" s="335"/>
    </row>
    <row r="91" spans="1:8" s="332" customFormat="1" ht="25.5" x14ac:dyDescent="0.2">
      <c r="A91" s="554" t="s">
        <v>162</v>
      </c>
      <c r="B91" s="500">
        <v>1528000</v>
      </c>
      <c r="C91" s="333">
        <v>600239.31000000006</v>
      </c>
      <c r="D91" s="333">
        <v>132878</v>
      </c>
      <c r="E91" s="286">
        <f>D91/C91*100</f>
        <v>22.13750378994671</v>
      </c>
      <c r="F91" s="533">
        <v>101181</v>
      </c>
      <c r="G91" s="289" t="s">
        <v>152</v>
      </c>
      <c r="H91" s="335"/>
    </row>
    <row r="92" spans="1:8" s="332" customFormat="1" ht="25.5" x14ac:dyDescent="0.2">
      <c r="A92" s="552" t="s">
        <v>145</v>
      </c>
      <c r="B92" s="499">
        <v>4099700</v>
      </c>
      <c r="C92" s="461">
        <v>18893572</v>
      </c>
      <c r="D92" s="461">
        <v>10372246.98</v>
      </c>
      <c r="E92" s="286">
        <f t="shared" ref="E92:E101" si="10">D92/C92*100</f>
        <v>54.89828487699414</v>
      </c>
      <c r="F92" s="533">
        <v>101247</v>
      </c>
      <c r="G92" s="289" t="s">
        <v>152</v>
      </c>
      <c r="H92" s="335"/>
    </row>
    <row r="93" spans="1:8" s="332" customFormat="1" ht="25.5" customHeight="1" x14ac:dyDescent="0.2">
      <c r="A93" s="650" t="s">
        <v>401</v>
      </c>
      <c r="B93" s="499">
        <v>1662000</v>
      </c>
      <c r="C93" s="461">
        <v>2912000</v>
      </c>
      <c r="D93" s="461">
        <v>391819.65</v>
      </c>
      <c r="E93" s="286">
        <f t="shared" si="10"/>
        <v>13.455345123626374</v>
      </c>
      <c r="F93" s="533">
        <v>101338</v>
      </c>
      <c r="G93" s="289" t="s">
        <v>152</v>
      </c>
      <c r="H93" s="335"/>
    </row>
    <row r="94" spans="1:8" s="332" customFormat="1" x14ac:dyDescent="0.2">
      <c r="A94" s="646"/>
      <c r="B94" s="499">
        <v>0</v>
      </c>
      <c r="C94" s="461">
        <v>2611616.89</v>
      </c>
      <c r="D94" s="461">
        <v>2611616.89</v>
      </c>
      <c r="E94" s="286">
        <f t="shared" si="10"/>
        <v>100</v>
      </c>
      <c r="F94" s="533">
        <v>101338</v>
      </c>
      <c r="G94" s="445" t="s">
        <v>367</v>
      </c>
      <c r="H94" s="335"/>
    </row>
    <row r="95" spans="1:8" s="332" customFormat="1" ht="25.5" customHeight="1" x14ac:dyDescent="0.2">
      <c r="A95" s="650" t="s">
        <v>402</v>
      </c>
      <c r="B95" s="499">
        <v>1659000</v>
      </c>
      <c r="C95" s="461">
        <v>1659000</v>
      </c>
      <c r="D95" s="461">
        <v>548878.63</v>
      </c>
      <c r="E95" s="286">
        <f t="shared" si="10"/>
        <v>33.084908378541286</v>
      </c>
      <c r="F95" s="533">
        <v>101339</v>
      </c>
      <c r="G95" s="289" t="s">
        <v>152</v>
      </c>
      <c r="H95" s="335"/>
    </row>
    <row r="96" spans="1:8" s="332" customFormat="1" x14ac:dyDescent="0.2">
      <c r="A96" s="646"/>
      <c r="B96" s="499">
        <v>0</v>
      </c>
      <c r="C96" s="461">
        <v>3917147.59</v>
      </c>
      <c r="D96" s="461">
        <v>3917147.59</v>
      </c>
      <c r="E96" s="286">
        <f t="shared" si="10"/>
        <v>100</v>
      </c>
      <c r="F96" s="533">
        <v>101339</v>
      </c>
      <c r="G96" s="445" t="s">
        <v>367</v>
      </c>
      <c r="H96" s="335"/>
    </row>
    <row r="97" spans="1:12" s="332" customFormat="1" ht="25.5" customHeight="1" x14ac:dyDescent="0.2">
      <c r="A97" s="650" t="s">
        <v>403</v>
      </c>
      <c r="B97" s="499">
        <v>1421000</v>
      </c>
      <c r="C97" s="461">
        <v>1421000</v>
      </c>
      <c r="D97" s="461">
        <v>447251.16</v>
      </c>
      <c r="E97" s="286">
        <f t="shared" si="10"/>
        <v>31.474395496129485</v>
      </c>
      <c r="F97" s="533">
        <v>101340</v>
      </c>
      <c r="G97" s="289" t="s">
        <v>152</v>
      </c>
      <c r="H97" s="335"/>
    </row>
    <row r="98" spans="1:12" s="332" customFormat="1" x14ac:dyDescent="0.2">
      <c r="A98" s="646"/>
      <c r="B98" s="499">
        <v>0</v>
      </c>
      <c r="C98" s="461">
        <v>3110500.28</v>
      </c>
      <c r="D98" s="461">
        <v>3110500.28</v>
      </c>
      <c r="E98" s="286">
        <f t="shared" si="10"/>
        <v>100</v>
      </c>
      <c r="F98" s="533">
        <v>101340</v>
      </c>
      <c r="G98" s="445" t="s">
        <v>367</v>
      </c>
      <c r="H98" s="335"/>
    </row>
    <row r="99" spans="1:12" s="332" customFormat="1" ht="25.5" x14ac:dyDescent="0.2">
      <c r="A99" s="552" t="s">
        <v>404</v>
      </c>
      <c r="B99" s="499">
        <v>227700</v>
      </c>
      <c r="C99" s="461">
        <v>227700</v>
      </c>
      <c r="D99" s="461">
        <v>0</v>
      </c>
      <c r="E99" s="286">
        <f t="shared" si="10"/>
        <v>0</v>
      </c>
      <c r="F99" s="533">
        <v>101341</v>
      </c>
      <c r="G99" s="289" t="s">
        <v>152</v>
      </c>
      <c r="H99" s="335"/>
    </row>
    <row r="100" spans="1:12" s="332" customFormat="1" ht="25.5" x14ac:dyDescent="0.2">
      <c r="A100" s="552" t="s">
        <v>405</v>
      </c>
      <c r="B100" s="499">
        <v>1783600</v>
      </c>
      <c r="C100" s="461">
        <v>183600</v>
      </c>
      <c r="D100" s="461">
        <v>0</v>
      </c>
      <c r="E100" s="286">
        <f t="shared" si="10"/>
        <v>0</v>
      </c>
      <c r="F100" s="533">
        <v>101342</v>
      </c>
      <c r="G100" s="289" t="s">
        <v>152</v>
      </c>
      <c r="H100" s="335"/>
    </row>
    <row r="101" spans="1:12" s="338" customFormat="1" ht="26.25" thickBot="1" x14ac:dyDescent="0.25">
      <c r="A101" s="553" t="s">
        <v>406</v>
      </c>
      <c r="B101" s="437">
        <v>2328000</v>
      </c>
      <c r="C101" s="437">
        <v>239000</v>
      </c>
      <c r="D101" s="437">
        <v>127160</v>
      </c>
      <c r="E101" s="438">
        <f t="shared" si="10"/>
        <v>53.205020920502086</v>
      </c>
      <c r="F101" s="331" t="s">
        <v>365</v>
      </c>
      <c r="G101" s="289" t="s">
        <v>152</v>
      </c>
      <c r="H101" s="337"/>
    </row>
    <row r="102" spans="1:12" s="338" customFormat="1" ht="15.75" thickTop="1" x14ac:dyDescent="0.25">
      <c r="A102" s="269"/>
      <c r="B102" s="260"/>
      <c r="C102" s="264"/>
      <c r="D102" s="270"/>
      <c r="E102" s="271"/>
      <c r="F102" s="336"/>
      <c r="G102" s="337"/>
      <c r="H102" s="337"/>
    </row>
    <row r="103" spans="1:12" s="338" customFormat="1" ht="15.75" thickBot="1" x14ac:dyDescent="0.25">
      <c r="A103" s="303" t="s">
        <v>29</v>
      </c>
      <c r="B103" s="503"/>
      <c r="C103" s="304"/>
      <c r="D103" s="305"/>
      <c r="E103" s="306" t="s">
        <v>18</v>
      </c>
      <c r="F103" s="347"/>
      <c r="G103" s="280"/>
      <c r="H103" s="337"/>
    </row>
    <row r="104" spans="1:12" s="338" customFormat="1" ht="14.25" thickTop="1" thickBot="1" x14ac:dyDescent="0.25">
      <c r="A104" s="272" t="s">
        <v>5</v>
      </c>
      <c r="B104" s="273" t="s">
        <v>0</v>
      </c>
      <c r="C104" s="274" t="s">
        <v>1</v>
      </c>
      <c r="D104" s="275" t="s">
        <v>4</v>
      </c>
      <c r="E104" s="276" t="s">
        <v>6</v>
      </c>
      <c r="F104" s="347"/>
      <c r="G104" s="280"/>
      <c r="H104" s="337"/>
    </row>
    <row r="105" spans="1:12" s="338" customFormat="1" ht="15.75" thickTop="1" x14ac:dyDescent="0.2">
      <c r="A105" s="277" t="s">
        <v>9</v>
      </c>
      <c r="B105" s="278">
        <f>SUM(B106:B108)</f>
        <v>428000</v>
      </c>
      <c r="C105" s="278">
        <f t="shared" ref="C105:D105" si="11">SUM(C106:C108)</f>
        <v>428000</v>
      </c>
      <c r="D105" s="278">
        <f t="shared" si="11"/>
        <v>53000</v>
      </c>
      <c r="E105" s="307">
        <f>D105/C105*100</f>
        <v>12.383177570093459</v>
      </c>
      <c r="F105" s="347"/>
      <c r="G105" s="280"/>
      <c r="H105" s="337"/>
      <c r="I105" s="342" t="s">
        <v>40</v>
      </c>
      <c r="J105" s="318">
        <f>B86+B87+B89+B91+B92+B93+B95+B97+B99+B100+B101</f>
        <v>22352000</v>
      </c>
      <c r="K105" s="318">
        <f>C86+C87+C89+C91+C92+C93+C95+C97+C99+C100+C101</f>
        <v>30965872</v>
      </c>
      <c r="L105" s="318">
        <f>D86+D87+D89+D91+D92+D93+D95+D97+D99+D100+D101</f>
        <v>15530349.460000001</v>
      </c>
    </row>
    <row r="106" spans="1:12" s="338" customFormat="1" x14ac:dyDescent="0.2">
      <c r="A106" s="627" t="s">
        <v>568</v>
      </c>
      <c r="B106" s="501">
        <v>29000</v>
      </c>
      <c r="C106" s="334">
        <v>29000</v>
      </c>
      <c r="D106" s="334">
        <v>29000</v>
      </c>
      <c r="E106" s="287">
        <f t="shared" ref="E106:E108" si="12">D106/C106*100</f>
        <v>100</v>
      </c>
      <c r="F106" s="290">
        <v>1637</v>
      </c>
      <c r="G106" s="308" t="s">
        <v>576</v>
      </c>
      <c r="H106" s="337"/>
      <c r="I106" s="343"/>
      <c r="J106" s="561">
        <f>B88+B90+B94+B96+B98</f>
        <v>0</v>
      </c>
      <c r="K106" s="561">
        <f>C88+C90+C94+C96+C98</f>
        <v>15426800.85</v>
      </c>
      <c r="L106" s="561">
        <f>D88+D90+D94+D96+D98</f>
        <v>15426800.85</v>
      </c>
    </row>
    <row r="107" spans="1:12" s="338" customFormat="1" x14ac:dyDescent="0.2">
      <c r="A107" s="458" t="s">
        <v>328</v>
      </c>
      <c r="B107" s="499">
        <v>24000</v>
      </c>
      <c r="C107" s="461">
        <v>24000</v>
      </c>
      <c r="D107" s="461">
        <v>24000</v>
      </c>
      <c r="E107" s="460">
        <f t="shared" si="12"/>
        <v>100</v>
      </c>
      <c r="F107" s="290">
        <v>1641</v>
      </c>
      <c r="G107" s="308" t="s">
        <v>576</v>
      </c>
      <c r="H107" s="337"/>
      <c r="I107" s="319" t="s">
        <v>34</v>
      </c>
      <c r="J107" s="320">
        <f>B105</f>
        <v>428000</v>
      </c>
      <c r="K107" s="320">
        <f>C105</f>
        <v>428000</v>
      </c>
      <c r="L107" s="320">
        <f>D105</f>
        <v>53000</v>
      </c>
    </row>
    <row r="108" spans="1:12" s="338" customFormat="1" ht="15.75" thickBot="1" x14ac:dyDescent="0.3">
      <c r="A108" s="462" t="s">
        <v>334</v>
      </c>
      <c r="B108" s="502">
        <v>375000</v>
      </c>
      <c r="C108" s="463">
        <v>375000</v>
      </c>
      <c r="D108" s="463">
        <v>0</v>
      </c>
      <c r="E108" s="438">
        <f t="shared" si="12"/>
        <v>0</v>
      </c>
      <c r="F108" s="290">
        <v>1654</v>
      </c>
      <c r="G108" s="308" t="s">
        <v>520</v>
      </c>
      <c r="H108" s="337"/>
      <c r="J108" s="292">
        <f>J105+J106+J107</f>
        <v>22780000</v>
      </c>
      <c r="K108" s="292">
        <f>K105+K106+K107</f>
        <v>46820672.850000001</v>
      </c>
      <c r="L108" s="292">
        <f>L105+L106+L107</f>
        <v>31010150.310000002</v>
      </c>
    </row>
    <row r="109" spans="1:12" s="338" customFormat="1" ht="15.75" thickTop="1" x14ac:dyDescent="0.25">
      <c r="A109" s="269"/>
      <c r="B109" s="260"/>
      <c r="C109" s="264"/>
      <c r="D109" s="270"/>
      <c r="E109" s="271"/>
      <c r="F109" s="336"/>
      <c r="G109" s="337"/>
      <c r="H109" s="337"/>
    </row>
    <row r="110" spans="1:12" s="326" customFormat="1" ht="18.75" thickBot="1" x14ac:dyDescent="0.3">
      <c r="A110" s="321" t="s">
        <v>21</v>
      </c>
      <c r="B110" s="504">
        <f>SUM(B85,B105)</f>
        <v>22780000</v>
      </c>
      <c r="C110" s="504">
        <f>SUM(C85,C105)</f>
        <v>46820672.849999994</v>
      </c>
      <c r="D110" s="504">
        <f>SUM(D85,D105)</f>
        <v>31010150.309999999</v>
      </c>
      <c r="E110" s="323">
        <f>D110/C110*100</f>
        <v>66.231748546945539</v>
      </c>
      <c r="F110" s="256"/>
      <c r="G110" s="325"/>
      <c r="H110" s="325"/>
    </row>
    <row r="111" spans="1:12" s="346" customFormat="1" ht="13.5" thickTop="1" x14ac:dyDescent="0.2">
      <c r="B111" s="505"/>
      <c r="E111" s="302"/>
      <c r="F111" s="347"/>
      <c r="G111" s="280"/>
      <c r="H111" s="280"/>
    </row>
    <row r="112" spans="1:12" s="346" customFormat="1" x14ac:dyDescent="0.2">
      <c r="B112" s="505"/>
      <c r="E112" s="302"/>
      <c r="F112" s="347"/>
      <c r="G112" s="280"/>
      <c r="H112" s="280"/>
    </row>
    <row r="113" spans="1:12" ht="15" customHeight="1" x14ac:dyDescent="0.25">
      <c r="A113" s="268" t="s">
        <v>58</v>
      </c>
      <c r="B113" s="260"/>
    </row>
    <row r="114" spans="1:12" ht="15" customHeight="1" thickBot="1" x14ac:dyDescent="0.3">
      <c r="A114" s="269" t="s">
        <v>125</v>
      </c>
      <c r="B114" s="260"/>
      <c r="E114" s="271" t="s">
        <v>18</v>
      </c>
    </row>
    <row r="115" spans="1:12" ht="14.25" thickTop="1" thickBot="1" x14ac:dyDescent="0.25">
      <c r="A115" s="272" t="s">
        <v>5</v>
      </c>
      <c r="B115" s="273" t="s">
        <v>0</v>
      </c>
      <c r="C115" s="274" t="s">
        <v>1</v>
      </c>
      <c r="D115" s="275" t="s">
        <v>4</v>
      </c>
      <c r="E115" s="276" t="s">
        <v>6</v>
      </c>
    </row>
    <row r="116" spans="1:12" ht="15.75" thickTop="1" x14ac:dyDescent="0.2">
      <c r="A116" s="339" t="s">
        <v>8</v>
      </c>
      <c r="B116" s="340">
        <f>SUM(B117:B123)</f>
        <v>9400000</v>
      </c>
      <c r="C116" s="340">
        <f>SUM(C117:C123)</f>
        <v>70776230.810000002</v>
      </c>
      <c r="D116" s="340">
        <f>SUM(D117:D123)</f>
        <v>66642140.169999994</v>
      </c>
      <c r="E116" s="341">
        <f t="shared" ref="E116:E123" si="13">D116/C116*100</f>
        <v>94.158927944187866</v>
      </c>
      <c r="F116" s="265"/>
    </row>
    <row r="117" spans="1:12" s="310" customFormat="1" x14ac:dyDescent="0.2">
      <c r="A117" s="647" t="s">
        <v>163</v>
      </c>
      <c r="B117" s="531">
        <v>6100000</v>
      </c>
      <c r="C117" s="531">
        <v>17218413.350000001</v>
      </c>
      <c r="D117" s="531">
        <v>13184375.710000001</v>
      </c>
      <c r="E117" s="284">
        <f t="shared" si="13"/>
        <v>76.571374156260447</v>
      </c>
      <c r="F117" s="349">
        <v>100768</v>
      </c>
      <c r="G117" s="289" t="s">
        <v>152</v>
      </c>
      <c r="H117" s="309"/>
    </row>
    <row r="118" spans="1:12" s="310" customFormat="1" x14ac:dyDescent="0.2">
      <c r="A118" s="647"/>
      <c r="B118" s="350">
        <v>0</v>
      </c>
      <c r="C118" s="350">
        <v>23797899.620000001</v>
      </c>
      <c r="D118" s="350">
        <v>23797899.620000001</v>
      </c>
      <c r="E118" s="287">
        <f t="shared" si="13"/>
        <v>100</v>
      </c>
      <c r="F118" s="349">
        <v>100768</v>
      </c>
      <c r="G118" s="445" t="s">
        <v>367</v>
      </c>
      <c r="H118" s="448"/>
    </row>
    <row r="119" spans="1:12" s="310" customFormat="1" x14ac:dyDescent="0.2">
      <c r="A119" s="648" t="s">
        <v>164</v>
      </c>
      <c r="B119" s="348">
        <v>900000</v>
      </c>
      <c r="C119" s="348">
        <v>469164.9</v>
      </c>
      <c r="D119" s="348">
        <v>469111.9</v>
      </c>
      <c r="E119" s="286">
        <f t="shared" si="13"/>
        <v>99.988703332239908</v>
      </c>
      <c r="F119" s="349">
        <v>101011</v>
      </c>
      <c r="G119" s="289" t="s">
        <v>152</v>
      </c>
      <c r="H119" s="309"/>
    </row>
    <row r="120" spans="1:12" s="310" customFormat="1" x14ac:dyDescent="0.2">
      <c r="A120" s="649"/>
      <c r="B120" s="350">
        <v>0</v>
      </c>
      <c r="C120" s="350">
        <v>3904991.1</v>
      </c>
      <c r="D120" s="350">
        <v>3904991.1</v>
      </c>
      <c r="E120" s="287">
        <f t="shared" si="13"/>
        <v>100</v>
      </c>
      <c r="F120" s="349">
        <v>101011</v>
      </c>
      <c r="G120" s="445" t="s">
        <v>367</v>
      </c>
      <c r="H120" s="448"/>
    </row>
    <row r="121" spans="1:12" s="310" customFormat="1" x14ac:dyDescent="0.2">
      <c r="A121" s="648" t="s">
        <v>165</v>
      </c>
      <c r="B121" s="348">
        <v>2300000</v>
      </c>
      <c r="C121" s="348">
        <v>5322131.9400000004</v>
      </c>
      <c r="D121" s="348">
        <v>5322131.9400000004</v>
      </c>
      <c r="E121" s="286">
        <f t="shared" si="13"/>
        <v>100</v>
      </c>
      <c r="F121" s="349">
        <v>101080</v>
      </c>
      <c r="G121" s="289" t="s">
        <v>152</v>
      </c>
      <c r="H121" s="309"/>
    </row>
    <row r="122" spans="1:12" s="310" customFormat="1" x14ac:dyDescent="0.2">
      <c r="A122" s="649"/>
      <c r="B122" s="350">
        <v>0</v>
      </c>
      <c r="C122" s="350">
        <v>19963629.899999999</v>
      </c>
      <c r="D122" s="350">
        <v>19963629.899999999</v>
      </c>
      <c r="E122" s="287">
        <f t="shared" si="13"/>
        <v>100</v>
      </c>
      <c r="F122" s="349">
        <v>101080</v>
      </c>
      <c r="G122" s="445" t="s">
        <v>367</v>
      </c>
      <c r="H122" s="448"/>
    </row>
    <row r="123" spans="1:12" s="310" customFormat="1" ht="13.5" thickBot="1" x14ac:dyDescent="0.25">
      <c r="A123" s="436" t="s">
        <v>166</v>
      </c>
      <c r="B123" s="437">
        <v>100000</v>
      </c>
      <c r="C123" s="437">
        <v>100000</v>
      </c>
      <c r="D123" s="437">
        <v>0</v>
      </c>
      <c r="E123" s="438">
        <f t="shared" si="13"/>
        <v>0</v>
      </c>
      <c r="F123" s="349">
        <v>101242</v>
      </c>
      <c r="G123" s="289" t="s">
        <v>152</v>
      </c>
      <c r="H123" s="351"/>
    </row>
    <row r="124" spans="1:12" ht="13.5" thickTop="1" x14ac:dyDescent="0.2">
      <c r="A124" s="352"/>
      <c r="B124" s="414"/>
      <c r="C124" s="353"/>
      <c r="D124" s="353"/>
      <c r="E124" s="302"/>
      <c r="F124" s="265"/>
      <c r="G124" s="315"/>
    </row>
    <row r="125" spans="1:12" s="346" customFormat="1" ht="15.75" thickBot="1" x14ac:dyDescent="0.25">
      <c r="A125" s="303" t="s">
        <v>29</v>
      </c>
      <c r="B125" s="503"/>
      <c r="C125" s="304"/>
      <c r="D125" s="305"/>
      <c r="E125" s="306" t="s">
        <v>18</v>
      </c>
      <c r="F125" s="347"/>
      <c r="G125" s="280"/>
      <c r="H125" s="280"/>
    </row>
    <row r="126" spans="1:12" s="346" customFormat="1" ht="14.25" thickTop="1" thickBot="1" x14ac:dyDescent="0.25">
      <c r="A126" s="272" t="s">
        <v>5</v>
      </c>
      <c r="B126" s="273" t="s">
        <v>0</v>
      </c>
      <c r="C126" s="274" t="s">
        <v>1</v>
      </c>
      <c r="D126" s="275" t="s">
        <v>4</v>
      </c>
      <c r="E126" s="276" t="s">
        <v>6</v>
      </c>
      <c r="F126" s="347"/>
      <c r="G126" s="280"/>
      <c r="H126" s="280"/>
    </row>
    <row r="127" spans="1:12" s="346" customFormat="1" ht="15.75" thickTop="1" x14ac:dyDescent="0.2">
      <c r="A127" s="277" t="s">
        <v>8</v>
      </c>
      <c r="B127" s="278">
        <f>SUM(B128:B128)</f>
        <v>1758000</v>
      </c>
      <c r="C127" s="278">
        <f>SUM(C128:C128)</f>
        <v>1758000</v>
      </c>
      <c r="D127" s="278">
        <f>SUM(D128:D128)</f>
        <v>52600.06</v>
      </c>
      <c r="E127" s="307">
        <f>D127/C127*100</f>
        <v>2.9920398179749714</v>
      </c>
      <c r="F127" s="347"/>
      <c r="G127" s="280"/>
      <c r="H127" s="280"/>
      <c r="I127" s="342" t="s">
        <v>40</v>
      </c>
      <c r="J127" s="318">
        <f>B117+B119+B121+B123</f>
        <v>9400000</v>
      </c>
      <c r="K127" s="318">
        <f>C117+C119+C121+C123</f>
        <v>23109710.190000001</v>
      </c>
      <c r="L127" s="318">
        <f>D117+D119+D121+D123</f>
        <v>18975619.550000001</v>
      </c>
    </row>
    <row r="128" spans="1:12" s="346" customFormat="1" ht="13.5" thickBot="1" x14ac:dyDescent="0.25">
      <c r="A128" s="620" t="s">
        <v>347</v>
      </c>
      <c r="B128" s="632">
        <f>782000+976000</f>
        <v>1758000</v>
      </c>
      <c r="C128" s="560">
        <f>782000+976000</f>
        <v>1758000</v>
      </c>
      <c r="D128" s="560">
        <f>26524.16+26075.9</f>
        <v>52600.06</v>
      </c>
      <c r="E128" s="298">
        <f t="shared" ref="E128" si="14">D128/C128*100</f>
        <v>2.9920398179749714</v>
      </c>
      <c r="F128" s="290">
        <v>1602</v>
      </c>
      <c r="G128" s="308" t="s">
        <v>520</v>
      </c>
      <c r="H128" s="280"/>
      <c r="J128" s="561">
        <f>B118+B120+B122</f>
        <v>0</v>
      </c>
      <c r="K128" s="561">
        <f>C118+C120+C122</f>
        <v>47666520.620000005</v>
      </c>
      <c r="L128" s="561">
        <f>D118+D120+D122</f>
        <v>47666520.620000005</v>
      </c>
    </row>
    <row r="129" spans="1:12" s="346" customFormat="1" ht="13.5" thickTop="1" x14ac:dyDescent="0.2">
      <c r="B129" s="506"/>
      <c r="C129" s="355"/>
      <c r="D129" s="355"/>
      <c r="E129" s="302"/>
      <c r="F129" s="347"/>
      <c r="G129" s="280"/>
      <c r="I129" s="319" t="s">
        <v>34</v>
      </c>
      <c r="J129" s="320">
        <f>B127</f>
        <v>1758000</v>
      </c>
      <c r="K129" s="320">
        <f>C127</f>
        <v>1758000</v>
      </c>
      <c r="L129" s="320">
        <f>D127</f>
        <v>52600.06</v>
      </c>
    </row>
    <row r="130" spans="1:12" s="326" customFormat="1" ht="18.75" thickBot="1" x14ac:dyDescent="0.3">
      <c r="A130" s="321" t="s">
        <v>22</v>
      </c>
      <c r="B130" s="504">
        <f>SUM(B116,B127)</f>
        <v>11158000</v>
      </c>
      <c r="C130" s="504">
        <f>SUM(C116,C127)</f>
        <v>72534230.810000002</v>
      </c>
      <c r="D130" s="504">
        <f>SUM(D116,D127)</f>
        <v>66694740.229999997</v>
      </c>
      <c r="E130" s="323">
        <f>D130/C130*100</f>
        <v>91.949331350467787</v>
      </c>
      <c r="F130" s="356"/>
      <c r="G130" s="325"/>
      <c r="J130" s="292">
        <f>SUM(J127:J129)</f>
        <v>11158000</v>
      </c>
      <c r="K130" s="292">
        <f t="shared" ref="K130:L130" si="15">SUM(K127:K129)</f>
        <v>72534230.810000002</v>
      </c>
      <c r="L130" s="292">
        <f t="shared" si="15"/>
        <v>66694740.230000004</v>
      </c>
    </row>
    <row r="131" spans="1:12" s="326" customFormat="1" ht="18.75" thickTop="1" x14ac:dyDescent="0.25">
      <c r="A131" s="357"/>
      <c r="B131" s="507"/>
      <c r="C131" s="358"/>
      <c r="D131" s="358"/>
      <c r="E131" s="359"/>
      <c r="F131" s="356"/>
      <c r="G131" s="325"/>
    </row>
    <row r="132" spans="1:12" s="346" customFormat="1" x14ac:dyDescent="0.2">
      <c r="B132" s="505"/>
      <c r="E132" s="302"/>
      <c r="F132" s="347"/>
      <c r="G132" s="280"/>
    </row>
    <row r="133" spans="1:12" ht="15" customHeight="1" x14ac:dyDescent="0.25">
      <c r="A133" s="268" t="s">
        <v>59</v>
      </c>
      <c r="B133" s="260"/>
    </row>
    <row r="134" spans="1:12" ht="15" customHeight="1" thickBot="1" x14ac:dyDescent="0.3">
      <c r="A134" s="269" t="s">
        <v>125</v>
      </c>
      <c r="B134" s="260"/>
      <c r="E134" s="271" t="s">
        <v>18</v>
      </c>
    </row>
    <row r="135" spans="1:12" ht="14.25" thickTop="1" thickBot="1" x14ac:dyDescent="0.25">
      <c r="A135" s="272" t="s">
        <v>5</v>
      </c>
      <c r="B135" s="273" t="s">
        <v>0</v>
      </c>
      <c r="C135" s="274" t="s">
        <v>1</v>
      </c>
      <c r="D135" s="275" t="s">
        <v>4</v>
      </c>
      <c r="E135" s="276" t="s">
        <v>6</v>
      </c>
    </row>
    <row r="136" spans="1:12" ht="15.75" thickTop="1" x14ac:dyDescent="0.25">
      <c r="A136" s="277" t="s">
        <v>11</v>
      </c>
      <c r="B136" s="360">
        <f>SUM(B137:B155)</f>
        <v>133873000</v>
      </c>
      <c r="C136" s="360">
        <f>SUM(C137:C155)</f>
        <v>435163221.18000007</v>
      </c>
      <c r="D136" s="360">
        <f>SUM(D137:D155)</f>
        <v>400982598.16000003</v>
      </c>
      <c r="E136" s="279">
        <f>D136/C136*100</f>
        <v>92.145332749556601</v>
      </c>
      <c r="F136" s="265"/>
      <c r="H136" s="335"/>
    </row>
    <row r="137" spans="1:12" s="366" customFormat="1" x14ac:dyDescent="0.2">
      <c r="A137" s="659" t="s">
        <v>168</v>
      </c>
      <c r="B137" s="569">
        <v>26000000</v>
      </c>
      <c r="C137" s="569">
        <v>30364551.079999998</v>
      </c>
      <c r="D137" s="570">
        <v>30118062.68</v>
      </c>
      <c r="E137" s="466">
        <f>D137/C137*100</f>
        <v>99.188236310984507</v>
      </c>
      <c r="F137" s="363">
        <v>100040</v>
      </c>
      <c r="G137" s="364" t="s">
        <v>50</v>
      </c>
      <c r="H137" s="365"/>
    </row>
    <row r="138" spans="1:12" s="366" customFormat="1" x14ac:dyDescent="0.2">
      <c r="A138" s="661"/>
      <c r="B138" s="569">
        <v>0</v>
      </c>
      <c r="C138" s="569">
        <v>21575766.59</v>
      </c>
      <c r="D138" s="570">
        <v>21575766.59</v>
      </c>
      <c r="E138" s="466">
        <f>D138/C138*100</f>
        <v>100</v>
      </c>
      <c r="F138" s="363">
        <v>100040</v>
      </c>
      <c r="G138" s="445" t="s">
        <v>518</v>
      </c>
      <c r="H138" s="365"/>
    </row>
    <row r="139" spans="1:12" s="366" customFormat="1" x14ac:dyDescent="0.2">
      <c r="A139" s="645" t="s">
        <v>170</v>
      </c>
      <c r="B139" s="571">
        <v>3847000</v>
      </c>
      <c r="C139" s="571">
        <v>2945215.93</v>
      </c>
      <c r="D139" s="572">
        <v>2945215.92</v>
      </c>
      <c r="E139" s="367">
        <f t="shared" ref="E139:E142" si="16">D139/C139*100</f>
        <v>99.999999660466315</v>
      </c>
      <c r="F139" s="363">
        <v>100913</v>
      </c>
      <c r="G139" s="364" t="s">
        <v>50</v>
      </c>
      <c r="H139" s="365"/>
    </row>
    <row r="140" spans="1:12" s="366" customFormat="1" x14ac:dyDescent="0.2">
      <c r="A140" s="646"/>
      <c r="B140" s="567">
        <v>0</v>
      </c>
      <c r="C140" s="567">
        <v>24140557.539999999</v>
      </c>
      <c r="D140" s="568">
        <v>24140557.539999999</v>
      </c>
      <c r="E140" s="368">
        <f t="shared" si="16"/>
        <v>100</v>
      </c>
      <c r="F140" s="363">
        <v>100913</v>
      </c>
      <c r="G140" s="445" t="s">
        <v>518</v>
      </c>
      <c r="H140" s="447"/>
    </row>
    <row r="141" spans="1:12" s="366" customFormat="1" x14ac:dyDescent="0.2">
      <c r="A141" s="361" t="s">
        <v>171</v>
      </c>
      <c r="B141" s="573">
        <v>7000000</v>
      </c>
      <c r="C141" s="573">
        <v>2820000</v>
      </c>
      <c r="D141" s="574">
        <v>2290080.91</v>
      </c>
      <c r="E141" s="362">
        <f t="shared" si="16"/>
        <v>81.20854290780143</v>
      </c>
      <c r="F141" s="363">
        <v>100914</v>
      </c>
      <c r="G141" s="364" t="s">
        <v>50</v>
      </c>
      <c r="H141" s="365"/>
    </row>
    <row r="142" spans="1:12" s="366" customFormat="1" x14ac:dyDescent="0.2">
      <c r="A142" s="465" t="s">
        <v>172</v>
      </c>
      <c r="B142" s="569">
        <v>7950000</v>
      </c>
      <c r="C142" s="569">
        <v>1642211.92</v>
      </c>
      <c r="D142" s="570">
        <v>94380</v>
      </c>
      <c r="E142" s="368">
        <f t="shared" si="16"/>
        <v>5.7471267167516364</v>
      </c>
      <c r="F142" s="363">
        <v>100917</v>
      </c>
      <c r="G142" s="364" t="s">
        <v>50</v>
      </c>
      <c r="H142" s="365"/>
    </row>
    <row r="143" spans="1:12" s="366" customFormat="1" x14ac:dyDescent="0.2">
      <c r="A143" s="465" t="s">
        <v>173</v>
      </c>
      <c r="B143" s="569">
        <v>1923000</v>
      </c>
      <c r="C143" s="569">
        <v>1923000</v>
      </c>
      <c r="D143" s="570">
        <v>66550</v>
      </c>
      <c r="E143" s="466">
        <f>D143/C143*100</f>
        <v>3.4607384295371815</v>
      </c>
      <c r="F143" s="363">
        <v>100918</v>
      </c>
      <c r="G143" s="364" t="s">
        <v>50</v>
      </c>
      <c r="H143" s="365"/>
    </row>
    <row r="144" spans="1:12" s="366" customFormat="1" x14ac:dyDescent="0.2">
      <c r="A144" s="659" t="s">
        <v>174</v>
      </c>
      <c r="B144" s="569">
        <v>10570000</v>
      </c>
      <c r="C144" s="569">
        <v>4552008.05</v>
      </c>
      <c r="D144" s="570">
        <v>1000</v>
      </c>
      <c r="E144" s="466">
        <f>D144/C144*100</f>
        <v>2.1968326703640167E-2</v>
      </c>
      <c r="F144" s="363">
        <v>100919</v>
      </c>
      <c r="G144" s="364" t="s">
        <v>50</v>
      </c>
      <c r="H144" s="365"/>
    </row>
    <row r="145" spans="1:12" s="366" customFormat="1" x14ac:dyDescent="0.2">
      <c r="A145" s="661"/>
      <c r="B145" s="569">
        <v>0</v>
      </c>
      <c r="C145" s="569">
        <f>163348037.29+9608708.08</f>
        <v>172956745.37</v>
      </c>
      <c r="D145" s="570">
        <v>172956745.37</v>
      </c>
      <c r="E145" s="466">
        <f>D145/C145*100</f>
        <v>100</v>
      </c>
      <c r="F145" s="363">
        <v>100919</v>
      </c>
      <c r="G145" s="445" t="s">
        <v>518</v>
      </c>
      <c r="H145" s="365"/>
    </row>
    <row r="146" spans="1:12" s="366" customFormat="1" x14ac:dyDescent="0.2">
      <c r="A146" s="660"/>
      <c r="B146" s="569">
        <v>31730000</v>
      </c>
      <c r="C146" s="569">
        <f>19631712.8+18116279.15</f>
        <v>37747991.950000003</v>
      </c>
      <c r="D146" s="570">
        <v>28630986</v>
      </c>
      <c r="E146" s="466">
        <f>D146/C146*100</f>
        <v>75.847706118841643</v>
      </c>
      <c r="F146" s="363">
        <v>100919</v>
      </c>
      <c r="G146" s="550" t="s">
        <v>357</v>
      </c>
      <c r="H146" s="365"/>
      <c r="I146" s="449"/>
    </row>
    <row r="147" spans="1:12" s="366" customFormat="1" x14ac:dyDescent="0.2">
      <c r="A147" s="659" t="s">
        <v>175</v>
      </c>
      <c r="B147" s="569">
        <v>6000000</v>
      </c>
      <c r="C147" s="569">
        <v>6828161.9299999997</v>
      </c>
      <c r="D147" s="570">
        <v>5932985.6799999997</v>
      </c>
      <c r="E147" s="466">
        <f t="shared" ref="E147:E155" si="17">D147/C147*100</f>
        <v>86.889938182822206</v>
      </c>
      <c r="F147" s="363">
        <v>100920</v>
      </c>
      <c r="G147" s="364" t="s">
        <v>50</v>
      </c>
      <c r="H147" s="365"/>
    </row>
    <row r="148" spans="1:12" s="366" customFormat="1" x14ac:dyDescent="0.2">
      <c r="A148" s="660"/>
      <c r="B148" s="569">
        <v>0</v>
      </c>
      <c r="C148" s="569">
        <v>20424703.120000001</v>
      </c>
      <c r="D148" s="570">
        <v>20424703.120000001</v>
      </c>
      <c r="E148" s="466">
        <f t="shared" si="17"/>
        <v>100</v>
      </c>
      <c r="F148" s="363">
        <v>100920</v>
      </c>
      <c r="G148" s="445" t="s">
        <v>518</v>
      </c>
      <c r="H148" s="365"/>
    </row>
    <row r="149" spans="1:12" s="370" customFormat="1" x14ac:dyDescent="0.2">
      <c r="A149" s="659" t="s">
        <v>100</v>
      </c>
      <c r="B149" s="499">
        <v>15400000</v>
      </c>
      <c r="C149" s="461">
        <v>20365828</v>
      </c>
      <c r="D149" s="461">
        <v>18788537.199999999</v>
      </c>
      <c r="E149" s="466">
        <f t="shared" si="17"/>
        <v>92.255209068838255</v>
      </c>
      <c r="F149" s="369">
        <v>100930</v>
      </c>
      <c r="G149" s="364" t="s">
        <v>50</v>
      </c>
    </row>
    <row r="150" spans="1:12" s="370" customFormat="1" x14ac:dyDescent="0.2">
      <c r="A150" s="661"/>
      <c r="B150" s="500">
        <v>0</v>
      </c>
      <c r="C150" s="333">
        <v>40884878.75</v>
      </c>
      <c r="D150" s="333">
        <v>40884878.75</v>
      </c>
      <c r="E150" s="466">
        <f t="shared" si="17"/>
        <v>100</v>
      </c>
      <c r="F150" s="369">
        <v>100930</v>
      </c>
      <c r="G150" s="445" t="s">
        <v>518</v>
      </c>
    </row>
    <row r="151" spans="1:12" s="370" customFormat="1" x14ac:dyDescent="0.2">
      <c r="A151" s="660"/>
      <c r="B151" s="500">
        <v>0</v>
      </c>
      <c r="C151" s="333">
        <v>7208696.54</v>
      </c>
      <c r="D151" s="333">
        <v>7208696.54</v>
      </c>
      <c r="E151" s="466">
        <f t="shared" si="17"/>
        <v>100</v>
      </c>
      <c r="F151" s="369">
        <v>100930</v>
      </c>
      <c r="G151" s="555" t="s">
        <v>358</v>
      </c>
    </row>
    <row r="152" spans="1:12" s="370" customFormat="1" x14ac:dyDescent="0.2">
      <c r="A152" s="645" t="s">
        <v>101</v>
      </c>
      <c r="B152" s="499">
        <v>0</v>
      </c>
      <c r="C152" s="461">
        <v>123237</v>
      </c>
      <c r="D152" s="461">
        <v>123237</v>
      </c>
      <c r="E152" s="466">
        <f t="shared" si="17"/>
        <v>100</v>
      </c>
      <c r="F152" s="369">
        <v>100931</v>
      </c>
      <c r="G152" s="364" t="s">
        <v>50</v>
      </c>
    </row>
    <row r="153" spans="1:12" s="370" customFormat="1" x14ac:dyDescent="0.2">
      <c r="A153" s="646"/>
      <c r="B153" s="499">
        <v>0</v>
      </c>
      <c r="C153" s="461">
        <v>4250412.68</v>
      </c>
      <c r="D153" s="461">
        <v>4250412.68</v>
      </c>
      <c r="E153" s="466">
        <f t="shared" si="17"/>
        <v>100</v>
      </c>
      <c r="F153" s="369">
        <v>100931</v>
      </c>
      <c r="G153" s="555" t="s">
        <v>358</v>
      </c>
    </row>
    <row r="154" spans="1:12" s="370" customFormat="1" x14ac:dyDescent="0.2">
      <c r="A154" s="645" t="s">
        <v>359</v>
      </c>
      <c r="B154" s="499">
        <v>23453000</v>
      </c>
      <c r="C154" s="461">
        <v>19503000</v>
      </c>
      <c r="D154" s="461">
        <v>5643547.4500000002</v>
      </c>
      <c r="E154" s="466">
        <f t="shared" si="17"/>
        <v>28.936817156334925</v>
      </c>
      <c r="F154" s="369">
        <v>100956</v>
      </c>
      <c r="G154" s="364" t="s">
        <v>50</v>
      </c>
    </row>
    <row r="155" spans="1:12" s="370" customFormat="1" ht="13.5" thickBot="1" x14ac:dyDescent="0.25">
      <c r="A155" s="664"/>
      <c r="B155" s="502">
        <v>0</v>
      </c>
      <c r="C155" s="463">
        <v>14906254.73</v>
      </c>
      <c r="D155" s="463">
        <v>14906254.73</v>
      </c>
      <c r="E155" s="371">
        <f t="shared" si="17"/>
        <v>100</v>
      </c>
      <c r="F155" s="369">
        <v>100956</v>
      </c>
      <c r="G155" s="445" t="s">
        <v>518</v>
      </c>
    </row>
    <row r="156" spans="1:12" s="372" customFormat="1" ht="13.5" thickTop="1" x14ac:dyDescent="0.2">
      <c r="B156" s="505"/>
      <c r="E156" s="373"/>
      <c r="F156" s="374"/>
      <c r="G156" s="375"/>
      <c r="H156" s="375"/>
    </row>
    <row r="157" spans="1:12" s="372" customFormat="1" ht="15.75" thickBot="1" x14ac:dyDescent="0.25">
      <c r="A157" s="376" t="s">
        <v>51</v>
      </c>
      <c r="B157" s="260"/>
      <c r="C157" s="377"/>
      <c r="D157" s="377"/>
      <c r="E157" s="378" t="s">
        <v>18</v>
      </c>
      <c r="F157" s="374"/>
      <c r="G157" s="375"/>
      <c r="H157" s="375"/>
      <c r="I157" s="364" t="s">
        <v>38</v>
      </c>
      <c r="J157" s="442">
        <f>B137+B139+B141+B142+B143+B144+B147+B149+B152+B154</f>
        <v>102143000</v>
      </c>
      <c r="K157" s="442">
        <f>C137+C139+C141+C142+C143+C144+C147+C149+C152+C154</f>
        <v>91067213.909999996</v>
      </c>
      <c r="L157" s="442">
        <f>D137+D139+D141+D142+D143+D144+D147+D149+D152+D154</f>
        <v>66003596.840000004</v>
      </c>
    </row>
    <row r="158" spans="1:12" s="372" customFormat="1" ht="14.25" thickTop="1" thickBot="1" x14ac:dyDescent="0.25">
      <c r="A158" s="379" t="s">
        <v>5</v>
      </c>
      <c r="B158" s="273" t="s">
        <v>0</v>
      </c>
      <c r="C158" s="380" t="s">
        <v>1</v>
      </c>
      <c r="D158" s="381" t="s">
        <v>4</v>
      </c>
      <c r="E158" s="382" t="s">
        <v>6</v>
      </c>
      <c r="F158" s="374"/>
      <c r="G158" s="375"/>
      <c r="H158" s="375"/>
      <c r="J158" s="563">
        <f>B146</f>
        <v>31730000</v>
      </c>
      <c r="K158" s="563">
        <f>C146</f>
        <v>37747991.950000003</v>
      </c>
      <c r="L158" s="563">
        <f>D146</f>
        <v>28630986</v>
      </c>
    </row>
    <row r="159" spans="1:12" s="372" customFormat="1" ht="15.75" thickTop="1" x14ac:dyDescent="0.2">
      <c r="A159" s="383" t="s">
        <v>11</v>
      </c>
      <c r="B159" s="508">
        <f>SUM(B160:B161)</f>
        <v>29945000</v>
      </c>
      <c r="C159" s="384">
        <f>SUM(C160:C161)</f>
        <v>63919181.670000002</v>
      </c>
      <c r="D159" s="384">
        <f>SUM(D160:D161)</f>
        <v>63919181.670000002</v>
      </c>
      <c r="E159" s="385">
        <f t="shared" ref="E159:E161" si="18">D159/C159*100</f>
        <v>100</v>
      </c>
      <c r="F159" s="374"/>
      <c r="G159" s="386" t="s">
        <v>127</v>
      </c>
      <c r="H159" s="375"/>
      <c r="J159" s="564">
        <f>B138+B140+B145+B148+B150+B155</f>
        <v>0</v>
      </c>
      <c r="K159" s="564">
        <f>C138+C140+C145+C148+C150+C155</f>
        <v>294888906.10000002</v>
      </c>
      <c r="L159" s="564">
        <f>D138+D140+D145+D148+D150+D155</f>
        <v>294888906.10000002</v>
      </c>
    </row>
    <row r="160" spans="1:12" s="372" customFormat="1" x14ac:dyDescent="0.2">
      <c r="A160" s="662" t="s">
        <v>354</v>
      </c>
      <c r="B160" s="501">
        <v>0</v>
      </c>
      <c r="C160" s="565">
        <v>31032181.670000002</v>
      </c>
      <c r="D160" s="565">
        <v>31032181.670000002</v>
      </c>
      <c r="E160" s="368">
        <f t="shared" si="18"/>
        <v>100</v>
      </c>
      <c r="F160" s="349">
        <v>1600</v>
      </c>
      <c r="G160" s="386" t="s">
        <v>189</v>
      </c>
      <c r="H160" s="375"/>
      <c r="J160" s="562">
        <f>B151+B153</f>
        <v>0</v>
      </c>
      <c r="K160" s="562">
        <f>C151+C153</f>
        <v>11459109.219999999</v>
      </c>
      <c r="L160" s="562">
        <f>D151+D153</f>
        <v>11459109.219999999</v>
      </c>
    </row>
    <row r="161" spans="1:12" s="372" customFormat="1" ht="13.5" thickBot="1" x14ac:dyDescent="0.25">
      <c r="A161" s="663"/>
      <c r="B161" s="502">
        <v>29945000</v>
      </c>
      <c r="C161" s="623">
        <v>32887000</v>
      </c>
      <c r="D161" s="623">
        <v>32887000</v>
      </c>
      <c r="E161" s="624">
        <f t="shared" si="18"/>
        <v>100</v>
      </c>
      <c r="F161" s="349">
        <v>1600</v>
      </c>
      <c r="G161" s="386" t="s">
        <v>522</v>
      </c>
      <c r="H161" s="375"/>
      <c r="I161" s="308" t="s">
        <v>34</v>
      </c>
      <c r="J161" s="345">
        <f>B161</f>
        <v>29945000</v>
      </c>
      <c r="K161" s="345">
        <f t="shared" ref="K161:L161" si="19">C161</f>
        <v>32887000</v>
      </c>
      <c r="L161" s="345">
        <f t="shared" si="19"/>
        <v>32887000</v>
      </c>
    </row>
    <row r="162" spans="1:12" s="372" customFormat="1" ht="13.5" thickTop="1" x14ac:dyDescent="0.2">
      <c r="A162" s="387"/>
      <c r="B162" s="505"/>
      <c r="E162" s="373"/>
      <c r="F162" s="388"/>
      <c r="G162" s="386"/>
      <c r="H162" s="375"/>
      <c r="I162" s="258"/>
      <c r="J162" s="562">
        <f>B160</f>
        <v>0</v>
      </c>
      <c r="K162" s="562">
        <f t="shared" ref="K162:L162" si="20">C160</f>
        <v>31032181.670000002</v>
      </c>
      <c r="L162" s="562">
        <f t="shared" si="20"/>
        <v>31032181.670000002</v>
      </c>
    </row>
    <row r="163" spans="1:12" s="346" customFormat="1" x14ac:dyDescent="0.2">
      <c r="B163" s="505"/>
      <c r="E163" s="302"/>
      <c r="F163" s="347"/>
      <c r="G163" s="280"/>
      <c r="J163" s="389">
        <f>SUM(J157:J161)</f>
        <v>163818000</v>
      </c>
      <c r="K163" s="389">
        <f>SUM(K157:K161)</f>
        <v>468050221.18000007</v>
      </c>
      <c r="L163" s="389">
        <f>SUM(L157:L161)</f>
        <v>433869598.16000009</v>
      </c>
    </row>
    <row r="164" spans="1:12" s="326" customFormat="1" ht="18.75" thickBot="1" x14ac:dyDescent="0.3">
      <c r="A164" s="321" t="s">
        <v>24</v>
      </c>
      <c r="B164" s="504">
        <f>SUM(,B136,B159)</f>
        <v>163818000</v>
      </c>
      <c r="C164" s="322">
        <f>SUM(,C136,C159)</f>
        <v>499082402.85000008</v>
      </c>
      <c r="D164" s="322">
        <f>SUM(,D136,D159)</f>
        <v>464901779.83000004</v>
      </c>
      <c r="E164" s="323">
        <f>D164/C164*100</f>
        <v>93.151306713117449</v>
      </c>
      <c r="F164" s="390"/>
      <c r="G164" s="325"/>
    </row>
    <row r="165" spans="1:12" s="346" customFormat="1" ht="13.5" thickTop="1" x14ac:dyDescent="0.2">
      <c r="B165" s="505"/>
      <c r="E165" s="302"/>
      <c r="F165" s="347"/>
      <c r="G165" s="280"/>
      <c r="H165" s="280"/>
    </row>
    <row r="166" spans="1:12" s="346" customFormat="1" x14ac:dyDescent="0.2">
      <c r="B166" s="505"/>
      <c r="E166" s="302"/>
      <c r="F166" s="347"/>
      <c r="G166" s="280"/>
    </row>
    <row r="167" spans="1:12" s="346" customFormat="1" x14ac:dyDescent="0.2">
      <c r="B167" s="505"/>
      <c r="E167" s="302"/>
      <c r="F167" s="347"/>
      <c r="G167" s="280"/>
    </row>
    <row r="168" spans="1:12" ht="15" customHeight="1" x14ac:dyDescent="0.25">
      <c r="A168" s="268" t="s">
        <v>30</v>
      </c>
      <c r="B168" s="260"/>
    </row>
    <row r="169" spans="1:12" ht="15" customHeight="1" thickBot="1" x14ac:dyDescent="0.3">
      <c r="A169" s="269" t="s">
        <v>373</v>
      </c>
      <c r="B169" s="260"/>
      <c r="E169" s="271" t="s">
        <v>18</v>
      </c>
    </row>
    <row r="170" spans="1:12" ht="14.25" thickTop="1" thickBot="1" x14ac:dyDescent="0.25">
      <c r="A170" s="272" t="s">
        <v>5</v>
      </c>
      <c r="B170" s="273" t="s">
        <v>0</v>
      </c>
      <c r="C170" s="274" t="s">
        <v>1</v>
      </c>
      <c r="D170" s="275" t="s">
        <v>4</v>
      </c>
      <c r="E170" s="276" t="s">
        <v>6</v>
      </c>
    </row>
    <row r="171" spans="1:12" ht="15.75" thickTop="1" x14ac:dyDescent="0.2">
      <c r="A171" s="277" t="s">
        <v>10</v>
      </c>
      <c r="B171" s="360">
        <f>SUM(B172:B176)</f>
        <v>11219000</v>
      </c>
      <c r="C171" s="360">
        <f>SUM(C172:C176)</f>
        <v>12594940.91</v>
      </c>
      <c r="D171" s="360">
        <f>SUM(D172:D176)</f>
        <v>11498999.65</v>
      </c>
      <c r="E171" s="311">
        <f t="shared" ref="E171" si="21">D171/C171*100</f>
        <v>91.298559732583925</v>
      </c>
      <c r="F171" s="265"/>
    </row>
    <row r="172" spans="1:12" s="391" customFormat="1" x14ac:dyDescent="0.2">
      <c r="A172" s="643" t="s">
        <v>182</v>
      </c>
      <c r="B172" s="499">
        <v>2413000</v>
      </c>
      <c r="C172" s="467">
        <v>2505000</v>
      </c>
      <c r="D172" s="467">
        <v>2504660.89</v>
      </c>
      <c r="E172" s="460">
        <f>D172/C172*100</f>
        <v>99.986462674650696</v>
      </c>
      <c r="F172" s="290">
        <v>101237</v>
      </c>
      <c r="G172" s="392" t="s">
        <v>516</v>
      </c>
    </row>
    <row r="173" spans="1:12" s="391" customFormat="1" x14ac:dyDescent="0.2">
      <c r="A173" s="665"/>
      <c r="B173" s="500">
        <v>0</v>
      </c>
      <c r="C173" s="617">
        <v>112552.32000000001</v>
      </c>
      <c r="D173" s="617">
        <v>112552.32000000001</v>
      </c>
      <c r="E173" s="460">
        <f>D173/C173*100</f>
        <v>100</v>
      </c>
      <c r="F173" s="290">
        <v>101237</v>
      </c>
      <c r="G173" s="555" t="s">
        <v>524</v>
      </c>
    </row>
    <row r="174" spans="1:12" s="391" customFormat="1" x14ac:dyDescent="0.2">
      <c r="A174" s="644"/>
      <c r="B174" s="500">
        <v>0</v>
      </c>
      <c r="C174" s="617">
        <v>333773.78999999998</v>
      </c>
      <c r="D174" s="617">
        <v>293198.78999999998</v>
      </c>
      <c r="E174" s="460">
        <f>D174/C174*100</f>
        <v>87.843563150959213</v>
      </c>
      <c r="F174" s="290">
        <v>101237</v>
      </c>
      <c r="G174" s="555" t="s">
        <v>519</v>
      </c>
    </row>
    <row r="175" spans="1:12" s="391" customFormat="1" x14ac:dyDescent="0.2">
      <c r="A175" s="657" t="s">
        <v>183</v>
      </c>
      <c r="B175" s="499">
        <v>8806000</v>
      </c>
      <c r="C175" s="467">
        <v>8806000</v>
      </c>
      <c r="D175" s="467">
        <v>8261328.8499999996</v>
      </c>
      <c r="E175" s="460">
        <f>D175/C175*100</f>
        <v>93.814772314331123</v>
      </c>
      <c r="F175" s="290">
        <v>101238</v>
      </c>
      <c r="G175" s="392" t="s">
        <v>516</v>
      </c>
      <c r="H175" s="394"/>
      <c r="I175" s="394"/>
    </row>
    <row r="176" spans="1:12" s="346" customFormat="1" ht="13.5" thickBot="1" x14ac:dyDescent="0.25">
      <c r="A176" s="658"/>
      <c r="B176" s="502">
        <v>0</v>
      </c>
      <c r="C176" s="468">
        <v>837614.8</v>
      </c>
      <c r="D176" s="468">
        <v>327258.8</v>
      </c>
      <c r="E176" s="438">
        <f>D176/C176*100</f>
        <v>39.070322062122109</v>
      </c>
      <c r="F176" s="290">
        <v>101238</v>
      </c>
      <c r="G176" s="555" t="s">
        <v>519</v>
      </c>
      <c r="H176" s="280"/>
    </row>
    <row r="177" spans="1:12" s="346" customFormat="1" ht="13.5" thickTop="1" x14ac:dyDescent="0.2">
      <c r="B177" s="505"/>
      <c r="E177" s="302"/>
      <c r="F177" s="347"/>
      <c r="G177" s="280"/>
      <c r="H177" s="280"/>
    </row>
    <row r="178" spans="1:12" s="346" customFormat="1" ht="15.75" thickBot="1" x14ac:dyDescent="0.25">
      <c r="A178" s="303" t="s">
        <v>29</v>
      </c>
      <c r="B178" s="503"/>
      <c r="C178" s="304"/>
      <c r="D178" s="305"/>
      <c r="E178" s="306" t="s">
        <v>18</v>
      </c>
      <c r="F178" s="347"/>
      <c r="G178" s="280"/>
      <c r="H178" s="280"/>
    </row>
    <row r="179" spans="1:12" s="346" customFormat="1" ht="14.25" thickTop="1" thickBot="1" x14ac:dyDescent="0.25">
      <c r="A179" s="272" t="s">
        <v>5</v>
      </c>
      <c r="B179" s="273" t="s">
        <v>0</v>
      </c>
      <c r="C179" s="274" t="s">
        <v>1</v>
      </c>
      <c r="D179" s="275" t="s">
        <v>4</v>
      </c>
      <c r="E179" s="276" t="s">
        <v>6</v>
      </c>
      <c r="F179" s="347"/>
      <c r="G179" s="280"/>
      <c r="H179" s="280"/>
    </row>
    <row r="180" spans="1:12" s="346" customFormat="1" ht="15.75" thickTop="1" x14ac:dyDescent="0.2">
      <c r="A180" s="277" t="s">
        <v>7</v>
      </c>
      <c r="B180" s="278">
        <f>SUM(B181:B182)</f>
        <v>417000</v>
      </c>
      <c r="C180" s="278">
        <f>SUM(C181:C182)</f>
        <v>548133.64</v>
      </c>
      <c r="D180" s="278">
        <f>SUM(D181:D182)</f>
        <v>483227.48</v>
      </c>
      <c r="E180" s="307">
        <f>D180/C180*100</f>
        <v>88.158697940889013</v>
      </c>
      <c r="F180" s="347"/>
      <c r="G180" s="280"/>
      <c r="H180" s="280"/>
    </row>
    <row r="181" spans="1:12" s="346" customFormat="1" x14ac:dyDescent="0.2">
      <c r="A181" s="611" t="s">
        <v>355</v>
      </c>
      <c r="B181" s="501">
        <f>86000+131000</f>
        <v>217000</v>
      </c>
      <c r="C181" s="334">
        <f>86000+262133.64</f>
        <v>348133.64</v>
      </c>
      <c r="D181" s="334">
        <f>85213.18+262133.64</f>
        <v>347346.82</v>
      </c>
      <c r="E181" s="287">
        <f t="shared" ref="E181:E182" si="22">D181/C181*100</f>
        <v>99.7739890922348</v>
      </c>
      <c r="F181" s="290">
        <v>1700</v>
      </c>
      <c r="G181" s="308" t="s">
        <v>520</v>
      </c>
      <c r="H181" s="280"/>
      <c r="I181" s="285"/>
      <c r="J181" s="318"/>
      <c r="K181" s="318"/>
      <c r="L181" s="318"/>
    </row>
    <row r="182" spans="1:12" s="346" customFormat="1" ht="13.5" thickBot="1" x14ac:dyDescent="0.25">
      <c r="A182" s="559" t="s">
        <v>356</v>
      </c>
      <c r="B182" s="632">
        <v>200000</v>
      </c>
      <c r="C182" s="560">
        <v>200000</v>
      </c>
      <c r="D182" s="560">
        <v>135880.66</v>
      </c>
      <c r="E182" s="298">
        <f t="shared" si="22"/>
        <v>67.940330000000003</v>
      </c>
      <c r="F182" s="290">
        <v>1704</v>
      </c>
      <c r="G182" s="308" t="s">
        <v>375</v>
      </c>
      <c r="H182" s="280"/>
    </row>
    <row r="183" spans="1:12" s="346" customFormat="1" ht="13.5" thickTop="1" x14ac:dyDescent="0.2">
      <c r="B183" s="505"/>
      <c r="E183" s="302"/>
      <c r="F183" s="347"/>
      <c r="G183" s="280"/>
      <c r="H183" s="280"/>
      <c r="I183" s="443" t="s">
        <v>36</v>
      </c>
      <c r="J183" s="441">
        <f>B172+B175</f>
        <v>11219000</v>
      </c>
      <c r="K183" s="441">
        <f>C172+C175</f>
        <v>11311000</v>
      </c>
      <c r="L183" s="441">
        <f>D172+D175</f>
        <v>10765989.74</v>
      </c>
    </row>
    <row r="184" spans="1:12" s="346" customFormat="1" x14ac:dyDescent="0.2">
      <c r="B184" s="505"/>
      <c r="E184" s="302"/>
      <c r="F184" s="347"/>
      <c r="G184" s="280"/>
      <c r="H184" s="280"/>
      <c r="I184" s="285"/>
      <c r="J184" s="618">
        <f>B174+B176+B173</f>
        <v>0</v>
      </c>
      <c r="K184" s="618">
        <f t="shared" ref="K184:L184" si="23">C174+C176+C173</f>
        <v>1283940.9100000001</v>
      </c>
      <c r="L184" s="618">
        <f t="shared" si="23"/>
        <v>733009.90999999992</v>
      </c>
    </row>
    <row r="185" spans="1:12" s="346" customFormat="1" x14ac:dyDescent="0.2">
      <c r="B185" s="506"/>
      <c r="C185" s="355"/>
      <c r="D185" s="355"/>
      <c r="E185" s="302"/>
      <c r="F185" s="347"/>
      <c r="G185" s="280"/>
      <c r="H185" s="280"/>
      <c r="I185" s="308" t="s">
        <v>34</v>
      </c>
      <c r="J185" s="345">
        <f>B181+B182</f>
        <v>417000</v>
      </c>
      <c r="K185" s="345">
        <f>C181+C182</f>
        <v>548133.64</v>
      </c>
      <c r="L185" s="345">
        <f>D181+D182</f>
        <v>483227.48</v>
      </c>
    </row>
    <row r="186" spans="1:12" s="346" customFormat="1" ht="18.75" thickBot="1" x14ac:dyDescent="0.3">
      <c r="A186" s="321" t="s">
        <v>23</v>
      </c>
      <c r="B186" s="504">
        <f>SUM(B171,B180)</f>
        <v>11636000</v>
      </c>
      <c r="C186" s="504">
        <f>SUM(C171,C180)</f>
        <v>13143074.550000001</v>
      </c>
      <c r="D186" s="504">
        <f>SUM(D171,D180)</f>
        <v>11982227.130000001</v>
      </c>
      <c r="E186" s="323">
        <f>D186/C186*100</f>
        <v>91.167611386637077</v>
      </c>
      <c r="F186" s="347"/>
      <c r="G186" s="280"/>
      <c r="H186" s="280"/>
      <c r="I186" s="319"/>
      <c r="J186" s="292">
        <f>SUM(J183:J185)</f>
        <v>11636000</v>
      </c>
      <c r="K186" s="292">
        <f>SUM(K183:K185)</f>
        <v>13143074.550000001</v>
      </c>
      <c r="L186" s="292">
        <f>SUM(L183:L185)</f>
        <v>11982227.130000001</v>
      </c>
    </row>
    <row r="187" spans="1:12" s="346" customFormat="1" ht="13.5" thickTop="1" x14ac:dyDescent="0.2">
      <c r="B187" s="505"/>
      <c r="E187" s="302"/>
      <c r="F187" s="347"/>
      <c r="G187" s="280"/>
      <c r="H187" s="280"/>
    </row>
    <row r="188" spans="1:12" s="346" customFormat="1" x14ac:dyDescent="0.2">
      <c r="B188" s="505"/>
      <c r="E188" s="302"/>
      <c r="F188" s="347"/>
      <c r="G188" s="280"/>
      <c r="H188" s="280"/>
    </row>
    <row r="189" spans="1:12" s="346" customFormat="1" ht="18" x14ac:dyDescent="0.25">
      <c r="A189" s="256" t="s">
        <v>63</v>
      </c>
      <c r="B189" s="509"/>
      <c r="C189" s="396"/>
      <c r="D189" s="397"/>
      <c r="E189" s="396"/>
      <c r="F189" s="347"/>
      <c r="G189" s="280"/>
      <c r="H189" s="280"/>
    </row>
    <row r="190" spans="1:12" s="346" customFormat="1" ht="15.75" thickBot="1" x14ac:dyDescent="0.3">
      <c r="A190" s="269" t="s">
        <v>369</v>
      </c>
      <c r="B190" s="509"/>
      <c r="C190" s="396"/>
      <c r="D190" s="397"/>
      <c r="E190" s="396" t="s">
        <v>18</v>
      </c>
      <c r="F190" s="347"/>
      <c r="G190" s="280"/>
      <c r="H190" s="280"/>
    </row>
    <row r="191" spans="1:12" s="346" customFormat="1" ht="14.25" thickTop="1" thickBot="1" x14ac:dyDescent="0.25">
      <c r="A191" s="398" t="s">
        <v>5</v>
      </c>
      <c r="B191" s="273" t="s">
        <v>0</v>
      </c>
      <c r="C191" s="274" t="s">
        <v>1</v>
      </c>
      <c r="D191" s="275" t="s">
        <v>4</v>
      </c>
      <c r="E191" s="276" t="s">
        <v>6</v>
      </c>
      <c r="F191" s="347"/>
      <c r="G191" s="280"/>
      <c r="H191" s="280"/>
    </row>
    <row r="192" spans="1:12" s="346" customFormat="1" ht="15.75" thickTop="1" x14ac:dyDescent="0.25">
      <c r="A192" s="339" t="s">
        <v>64</v>
      </c>
      <c r="B192" s="399">
        <f>SUM(B193:B197)</f>
        <v>2475000</v>
      </c>
      <c r="C192" s="399">
        <f>SUM(C193:C197)</f>
        <v>5107019.57</v>
      </c>
      <c r="D192" s="399">
        <f>SUM(D193:D197)</f>
        <v>4627024.7</v>
      </c>
      <c r="E192" s="400">
        <f t="shared" ref="E192:E197" si="24">D192/C192*100</f>
        <v>90.601272162346532</v>
      </c>
      <c r="F192" s="347"/>
      <c r="G192" s="280"/>
      <c r="H192" s="280"/>
    </row>
    <row r="193" spans="1:12" s="346" customFormat="1" x14ac:dyDescent="0.2">
      <c r="A193" s="613" t="s">
        <v>184</v>
      </c>
      <c r="B193" s="354">
        <v>1000000</v>
      </c>
      <c r="C193" s="354">
        <v>1000000</v>
      </c>
      <c r="D193" s="354">
        <v>693717.2</v>
      </c>
      <c r="E193" s="460">
        <f t="shared" si="24"/>
        <v>69.371719999999996</v>
      </c>
      <c r="F193" s="402">
        <v>101169</v>
      </c>
      <c r="G193" s="392" t="s">
        <v>516</v>
      </c>
    </row>
    <row r="194" spans="1:12" s="346" customFormat="1" ht="15" customHeight="1" x14ac:dyDescent="0.2">
      <c r="A194" s="666" t="s">
        <v>407</v>
      </c>
      <c r="B194" s="558">
        <v>1475000</v>
      </c>
      <c r="C194" s="558">
        <v>1306201.57</v>
      </c>
      <c r="D194" s="558">
        <v>1147754.72</v>
      </c>
      <c r="E194" s="460">
        <f t="shared" si="24"/>
        <v>87.869647867595191</v>
      </c>
      <c r="F194" s="402">
        <v>101333</v>
      </c>
      <c r="G194" s="392" t="s">
        <v>79</v>
      </c>
    </row>
    <row r="195" spans="1:12" s="346" customFormat="1" ht="15" customHeight="1" x14ac:dyDescent="0.2">
      <c r="A195" s="667"/>
      <c r="B195" s="626">
        <v>0</v>
      </c>
      <c r="C195" s="626">
        <v>719922</v>
      </c>
      <c r="D195" s="626">
        <v>719922</v>
      </c>
      <c r="E195" s="460">
        <f t="shared" si="24"/>
        <v>100</v>
      </c>
      <c r="F195" s="402">
        <v>101333</v>
      </c>
      <c r="G195" s="555" t="s">
        <v>523</v>
      </c>
    </row>
    <row r="196" spans="1:12" s="346" customFormat="1" ht="15" customHeight="1" x14ac:dyDescent="0.2">
      <c r="A196" s="666" t="s">
        <v>535</v>
      </c>
      <c r="B196" s="626">
        <v>0</v>
      </c>
      <c r="C196" s="626">
        <v>1880396</v>
      </c>
      <c r="D196" s="626">
        <v>1880396</v>
      </c>
      <c r="E196" s="460">
        <f t="shared" si="24"/>
        <v>100</v>
      </c>
      <c r="F196" s="402">
        <v>101425</v>
      </c>
      <c r="G196" s="555" t="s">
        <v>523</v>
      </c>
    </row>
    <row r="197" spans="1:12" s="346" customFormat="1" ht="15" customHeight="1" thickBot="1" x14ac:dyDescent="0.25">
      <c r="A197" s="668"/>
      <c r="B197" s="472">
        <v>0</v>
      </c>
      <c r="C197" s="472">
        <v>200500</v>
      </c>
      <c r="D197" s="472">
        <v>185234.78</v>
      </c>
      <c r="E197" s="438">
        <f t="shared" si="24"/>
        <v>92.386423940149626</v>
      </c>
      <c r="F197" s="402">
        <v>101425</v>
      </c>
      <c r="G197" s="392" t="s">
        <v>79</v>
      </c>
    </row>
    <row r="198" spans="1:12" s="346" customFormat="1" ht="15" customHeight="1" thickTop="1" x14ac:dyDescent="0.2">
      <c r="A198" s="471"/>
      <c r="B198" s="353"/>
      <c r="C198" s="353"/>
      <c r="D198" s="353"/>
      <c r="E198" s="401"/>
      <c r="F198" s="402"/>
      <c r="G198" s="392"/>
    </row>
    <row r="199" spans="1:12" s="346" customFormat="1" ht="15" customHeight="1" x14ac:dyDescent="0.2">
      <c r="A199" s="471"/>
      <c r="B199" s="353"/>
      <c r="C199" s="353"/>
      <c r="D199" s="353"/>
      <c r="E199" s="401"/>
      <c r="F199" s="402"/>
      <c r="G199" s="392"/>
      <c r="I199" s="343" t="s">
        <v>36</v>
      </c>
      <c r="J199" s="344">
        <f>B193+B194+B197</f>
        <v>2475000</v>
      </c>
      <c r="K199" s="344">
        <f>C193+C194+C197</f>
        <v>2506701.5700000003</v>
      </c>
      <c r="L199" s="344">
        <f>D193+D194+D197</f>
        <v>2026706.7</v>
      </c>
    </row>
    <row r="200" spans="1:12" s="346" customFormat="1" ht="18.75" thickBot="1" x14ac:dyDescent="0.25">
      <c r="A200" s="469" t="s">
        <v>65</v>
      </c>
      <c r="B200" s="510">
        <f>B192</f>
        <v>2475000</v>
      </c>
      <c r="C200" s="405">
        <f>C192</f>
        <v>5107019.57</v>
      </c>
      <c r="D200" s="405">
        <f>D192</f>
        <v>4627024.7</v>
      </c>
      <c r="E200" s="470">
        <f>D200/C200*100</f>
        <v>90.601272162346532</v>
      </c>
      <c r="F200" s="347"/>
      <c r="G200" s="280"/>
      <c r="J200" s="618">
        <f>B195+B196</f>
        <v>0</v>
      </c>
      <c r="K200" s="618">
        <f t="shared" ref="K200:L200" si="25">C195+C196</f>
        <v>2600318</v>
      </c>
      <c r="L200" s="618">
        <f t="shared" si="25"/>
        <v>2600318</v>
      </c>
    </row>
    <row r="201" spans="1:12" s="346" customFormat="1" ht="15" thickTop="1" x14ac:dyDescent="0.2">
      <c r="B201" s="505"/>
      <c r="E201" s="302"/>
      <c r="F201" s="347"/>
      <c r="G201" s="280"/>
      <c r="J201" s="395">
        <f>J199+J200</f>
        <v>2475000</v>
      </c>
      <c r="K201" s="395">
        <f t="shared" ref="K201:L201" si="26">K199+K200</f>
        <v>5107019.57</v>
      </c>
      <c r="L201" s="395">
        <f t="shared" si="26"/>
        <v>4627024.7</v>
      </c>
    </row>
    <row r="202" spans="1:12" s="346" customFormat="1" x14ac:dyDescent="0.2">
      <c r="B202" s="505"/>
      <c r="E202" s="302"/>
      <c r="F202" s="347"/>
      <c r="G202" s="280"/>
    </row>
    <row r="203" spans="1:12" s="346" customFormat="1" ht="18" x14ac:dyDescent="0.25">
      <c r="A203" s="256" t="s">
        <v>66</v>
      </c>
      <c r="B203" s="509"/>
      <c r="C203" s="396"/>
      <c r="D203" s="397"/>
      <c r="E203" s="396"/>
      <c r="F203" s="347"/>
      <c r="G203" s="280"/>
    </row>
    <row r="204" spans="1:12" s="346" customFormat="1" ht="15.75" thickBot="1" x14ac:dyDescent="0.3">
      <c r="A204" s="269" t="s">
        <v>369</v>
      </c>
      <c r="B204" s="509"/>
      <c r="C204" s="396"/>
      <c r="D204" s="397"/>
      <c r="E204" s="396" t="s">
        <v>18</v>
      </c>
      <c r="F204" s="347"/>
      <c r="G204" s="280"/>
    </row>
    <row r="205" spans="1:12" s="346" customFormat="1" ht="14.25" thickTop="1" thickBot="1" x14ac:dyDescent="0.25">
      <c r="A205" s="398" t="s">
        <v>5</v>
      </c>
      <c r="B205" s="273" t="s">
        <v>0</v>
      </c>
      <c r="C205" s="274" t="s">
        <v>1</v>
      </c>
      <c r="D205" s="275" t="s">
        <v>4</v>
      </c>
      <c r="E205" s="276" t="s">
        <v>6</v>
      </c>
      <c r="F205" s="347"/>
      <c r="G205" s="280"/>
    </row>
    <row r="206" spans="1:12" s="346" customFormat="1" ht="15.75" thickTop="1" x14ac:dyDescent="0.25">
      <c r="A206" s="406" t="s">
        <v>42</v>
      </c>
      <c r="B206" s="407">
        <f>SUM(B207:B208)</f>
        <v>648000</v>
      </c>
      <c r="C206" s="407">
        <f>SUM(C207:C208)</f>
        <v>6249649.1200000001</v>
      </c>
      <c r="D206" s="407">
        <f>SUM(D207:D208)</f>
        <v>6190119.6900000004</v>
      </c>
      <c r="E206" s="341">
        <f t="shared" ref="E206:E208" si="27">D206/C206*100</f>
        <v>99.047475644520659</v>
      </c>
      <c r="F206" s="347"/>
      <c r="G206" s="280"/>
    </row>
    <row r="207" spans="1:12" s="346" customFormat="1" x14ac:dyDescent="0.2">
      <c r="A207" s="653" t="s">
        <v>185</v>
      </c>
      <c r="B207" s="403">
        <v>648000</v>
      </c>
      <c r="C207" s="403">
        <v>1016000</v>
      </c>
      <c r="D207" s="403">
        <v>956470.57</v>
      </c>
      <c r="E207" s="287">
        <f t="shared" si="27"/>
        <v>94.140804133858254</v>
      </c>
      <c r="F207" s="347">
        <v>101234</v>
      </c>
      <c r="G207" s="392" t="s">
        <v>516</v>
      </c>
      <c r="H207" s="343"/>
      <c r="I207" s="344"/>
      <c r="J207" s="344"/>
      <c r="K207" s="344"/>
    </row>
    <row r="208" spans="1:12" s="346" customFormat="1" ht="13.5" thickBot="1" x14ac:dyDescent="0.25">
      <c r="A208" s="654"/>
      <c r="B208" s="619">
        <v>0</v>
      </c>
      <c r="C208" s="619">
        <v>5233649.12</v>
      </c>
      <c r="D208" s="619">
        <v>5233649.12</v>
      </c>
      <c r="E208" s="298">
        <f t="shared" si="27"/>
        <v>100</v>
      </c>
      <c r="F208" s="347">
        <v>101234</v>
      </c>
      <c r="G208" s="556" t="s">
        <v>517</v>
      </c>
      <c r="H208" s="343"/>
      <c r="I208" s="344"/>
      <c r="J208" s="344"/>
      <c r="K208" s="344"/>
    </row>
    <row r="209" spans="1:12" s="346" customFormat="1" ht="15.75" thickTop="1" x14ac:dyDescent="0.25">
      <c r="A209" s="408"/>
      <c r="B209" s="409"/>
      <c r="C209" s="409"/>
      <c r="D209" s="409"/>
      <c r="E209" s="410"/>
      <c r="F209" s="347"/>
      <c r="G209" s="280"/>
      <c r="I209" s="343" t="s">
        <v>36</v>
      </c>
      <c r="J209" s="344">
        <f>B207</f>
        <v>648000</v>
      </c>
      <c r="K209" s="344">
        <f t="shared" ref="K209:L209" si="28">C207</f>
        <v>1016000</v>
      </c>
      <c r="L209" s="344">
        <f t="shared" si="28"/>
        <v>956470.57</v>
      </c>
    </row>
    <row r="210" spans="1:12" s="346" customFormat="1" ht="15" x14ac:dyDescent="0.25">
      <c r="A210" s="408"/>
      <c r="B210" s="409"/>
      <c r="C210" s="409"/>
      <c r="D210" s="409"/>
      <c r="E210" s="410"/>
      <c r="F210" s="347"/>
      <c r="G210" s="280"/>
      <c r="J210" s="564">
        <f>B208</f>
        <v>0</v>
      </c>
      <c r="K210" s="564">
        <f t="shared" ref="K210:L210" si="29">C208</f>
        <v>5233649.12</v>
      </c>
      <c r="L210" s="564">
        <f t="shared" si="29"/>
        <v>5233649.12</v>
      </c>
    </row>
    <row r="211" spans="1:12" s="346" customFormat="1" ht="18.75" thickBot="1" x14ac:dyDescent="0.25">
      <c r="A211" s="404" t="s">
        <v>43</v>
      </c>
      <c r="B211" s="510">
        <f>B206</f>
        <v>648000</v>
      </c>
      <c r="C211" s="405">
        <f>C206</f>
        <v>6249649.1200000001</v>
      </c>
      <c r="D211" s="405">
        <f>D206</f>
        <v>6190119.6900000004</v>
      </c>
      <c r="E211" s="323">
        <f>D211/C211*100</f>
        <v>99.047475644520659</v>
      </c>
      <c r="F211" s="347"/>
      <c r="G211" s="280"/>
      <c r="J211" s="395">
        <f>SUM(J209:J210)</f>
        <v>648000</v>
      </c>
      <c r="K211" s="395">
        <f>SUM(K209:K210)</f>
        <v>6249649.1200000001</v>
      </c>
      <c r="L211" s="395">
        <f>SUM(L209:L210)</f>
        <v>6190119.6900000004</v>
      </c>
    </row>
    <row r="212" spans="1:12" s="346" customFormat="1" ht="13.5" customHeight="1" thickTop="1" x14ac:dyDescent="0.2">
      <c r="A212" s="411"/>
      <c r="B212" s="511"/>
      <c r="C212" s="412"/>
      <c r="D212" s="412"/>
      <c r="E212" s="413"/>
      <c r="F212" s="347"/>
      <c r="G212" s="280"/>
    </row>
    <row r="213" spans="1:12" s="346" customFormat="1" ht="12.75" customHeight="1" x14ac:dyDescent="0.2">
      <c r="A213" s="411"/>
      <c r="B213" s="511"/>
      <c r="C213" s="412"/>
      <c r="D213" s="412"/>
      <c r="E213" s="413"/>
      <c r="F213" s="347"/>
      <c r="G213" s="280"/>
    </row>
    <row r="214" spans="1:12" s="346" customFormat="1" ht="18" x14ac:dyDescent="0.25">
      <c r="A214" s="256" t="s">
        <v>67</v>
      </c>
      <c r="B214" s="509"/>
      <c r="C214" s="396"/>
      <c r="D214" s="397"/>
      <c r="E214" s="396"/>
      <c r="F214" s="347"/>
      <c r="G214" s="280"/>
    </row>
    <row r="215" spans="1:12" s="346" customFormat="1" ht="15.75" thickBot="1" x14ac:dyDescent="0.3">
      <c r="A215" s="269" t="s">
        <v>369</v>
      </c>
      <c r="B215" s="509"/>
      <c r="C215" s="396"/>
      <c r="D215" s="397"/>
      <c r="E215" s="396" t="s">
        <v>18</v>
      </c>
      <c r="F215" s="347"/>
      <c r="G215" s="280"/>
    </row>
    <row r="216" spans="1:12" s="346" customFormat="1" ht="14.25" thickTop="1" thickBot="1" x14ac:dyDescent="0.25">
      <c r="A216" s="398" t="s">
        <v>5</v>
      </c>
      <c r="B216" s="273" t="s">
        <v>0</v>
      </c>
      <c r="C216" s="274" t="s">
        <v>1</v>
      </c>
      <c r="D216" s="275" t="s">
        <v>4</v>
      </c>
      <c r="E216" s="276" t="s">
        <v>6</v>
      </c>
      <c r="F216" s="347"/>
      <c r="G216" s="280"/>
    </row>
    <row r="217" spans="1:12" s="346" customFormat="1" ht="15.75" thickTop="1" x14ac:dyDescent="0.25">
      <c r="A217" s="406" t="s">
        <v>55</v>
      </c>
      <c r="B217" s="407">
        <f>SUM(B218:B220)</f>
        <v>2907000</v>
      </c>
      <c r="C217" s="407">
        <f>SUM(C218:C220)</f>
        <v>28280997.300000001</v>
      </c>
      <c r="D217" s="407">
        <f>SUM(D218:D220)</f>
        <v>28208342.800000001</v>
      </c>
      <c r="E217" s="307">
        <f>D217/C217*100</f>
        <v>99.743097815012348</v>
      </c>
      <c r="F217" s="347"/>
      <c r="G217" s="280"/>
    </row>
    <row r="218" spans="1:12" s="346" customFormat="1" x14ac:dyDescent="0.2">
      <c r="A218" s="655" t="s">
        <v>105</v>
      </c>
      <c r="B218" s="403">
        <v>2580000</v>
      </c>
      <c r="C218" s="403">
        <v>5000000</v>
      </c>
      <c r="D218" s="403">
        <v>4997345.5</v>
      </c>
      <c r="E218" s="287">
        <f>D218/C218*100</f>
        <v>99.946910000000003</v>
      </c>
      <c r="F218" s="347">
        <v>101135</v>
      </c>
      <c r="G218" s="392" t="s">
        <v>516</v>
      </c>
    </row>
    <row r="219" spans="1:12" s="346" customFormat="1" x14ac:dyDescent="0.2">
      <c r="A219" s="656"/>
      <c r="B219" s="558">
        <v>0</v>
      </c>
      <c r="C219" s="558">
        <v>23210997.300000001</v>
      </c>
      <c r="D219" s="558">
        <v>23210997.300000001</v>
      </c>
      <c r="E219" s="460">
        <f>D219/C219*100</f>
        <v>100</v>
      </c>
      <c r="F219" s="347">
        <v>101135</v>
      </c>
      <c r="G219" s="556" t="s">
        <v>517</v>
      </c>
    </row>
    <row r="220" spans="1:12" s="346" customFormat="1" ht="13.5" thickBot="1" x14ac:dyDescent="0.25">
      <c r="A220" s="591" t="s">
        <v>186</v>
      </c>
      <c r="B220" s="472">
        <v>327000</v>
      </c>
      <c r="C220" s="472">
        <v>70000</v>
      </c>
      <c r="D220" s="472">
        <v>0</v>
      </c>
      <c r="E220" s="438">
        <f>D220/C220*100</f>
        <v>0</v>
      </c>
      <c r="F220" s="347">
        <v>101244</v>
      </c>
      <c r="G220" s="392" t="s">
        <v>516</v>
      </c>
    </row>
    <row r="221" spans="1:12" s="346" customFormat="1" ht="15.75" thickTop="1" x14ac:dyDescent="0.25">
      <c r="A221" s="408"/>
      <c r="B221" s="409"/>
      <c r="C221" s="409"/>
      <c r="D221" s="409"/>
      <c r="E221" s="410"/>
      <c r="F221" s="347"/>
      <c r="G221" s="280"/>
      <c r="I221" s="343" t="s">
        <v>36</v>
      </c>
      <c r="J221" s="344">
        <f>B218+B220</f>
        <v>2907000</v>
      </c>
      <c r="K221" s="344">
        <f>C218+C220</f>
        <v>5070000</v>
      </c>
      <c r="L221" s="344">
        <f>D218+D220</f>
        <v>4997345.5</v>
      </c>
    </row>
    <row r="222" spans="1:12" s="346" customFormat="1" ht="15" x14ac:dyDescent="0.25">
      <c r="A222" s="408"/>
      <c r="B222" s="409"/>
      <c r="C222" s="409"/>
      <c r="D222" s="409"/>
      <c r="E222" s="410"/>
      <c r="F222" s="347"/>
      <c r="G222" s="280"/>
      <c r="J222" s="564">
        <f>B219</f>
        <v>0</v>
      </c>
      <c r="K222" s="564">
        <f t="shared" ref="K222:L222" si="30">C219</f>
        <v>23210997.300000001</v>
      </c>
      <c r="L222" s="564">
        <f t="shared" si="30"/>
        <v>23210997.300000001</v>
      </c>
    </row>
    <row r="223" spans="1:12" s="346" customFormat="1" ht="18.75" thickBot="1" x14ac:dyDescent="0.25">
      <c r="A223" s="404" t="s">
        <v>56</v>
      </c>
      <c r="B223" s="405">
        <f>B217</f>
        <v>2907000</v>
      </c>
      <c r="C223" s="405">
        <f>C217</f>
        <v>28280997.300000001</v>
      </c>
      <c r="D223" s="405">
        <f>D217</f>
        <v>28208342.800000001</v>
      </c>
      <c r="E223" s="323">
        <f>D223/C223*100</f>
        <v>99.743097815012348</v>
      </c>
      <c r="F223" s="347"/>
      <c r="G223" s="280"/>
      <c r="H223" s="280"/>
      <c r="J223" s="395">
        <f>SUM(J221:J222)</f>
        <v>2907000</v>
      </c>
      <c r="K223" s="395">
        <f t="shared" ref="K223:L223" si="31">SUM(K221:K222)</f>
        <v>28280997.300000001</v>
      </c>
      <c r="L223" s="395">
        <f t="shared" si="31"/>
        <v>28208342.800000001</v>
      </c>
    </row>
    <row r="224" spans="1:12" s="346" customFormat="1" ht="18.75" thickTop="1" x14ac:dyDescent="0.2">
      <c r="A224" s="411"/>
      <c r="B224" s="412"/>
      <c r="C224" s="412"/>
      <c r="D224" s="412"/>
      <c r="E224" s="359"/>
      <c r="F224" s="347"/>
      <c r="G224" s="280"/>
      <c r="H224" s="280"/>
    </row>
    <row r="225" spans="1:12" s="346" customFormat="1" ht="18" x14ac:dyDescent="0.2">
      <c r="A225" s="411"/>
      <c r="B225" s="412"/>
      <c r="C225" s="412"/>
      <c r="D225" s="412"/>
      <c r="E225" s="359"/>
      <c r="F225" s="347"/>
      <c r="G225" s="280"/>
      <c r="H225" s="280"/>
    </row>
    <row r="226" spans="1:12" s="346" customFormat="1" ht="18" x14ac:dyDescent="0.25">
      <c r="A226" s="256" t="s">
        <v>368</v>
      </c>
      <c r="B226" s="509"/>
      <c r="C226" s="396"/>
      <c r="D226" s="397"/>
      <c r="E226" s="396"/>
      <c r="F226" s="347"/>
      <c r="G226" s="280"/>
      <c r="H226" s="280"/>
    </row>
    <row r="227" spans="1:12" s="346" customFormat="1" ht="15.75" thickBot="1" x14ac:dyDescent="0.3">
      <c r="A227" s="269" t="s">
        <v>369</v>
      </c>
      <c r="B227" s="509"/>
      <c r="C227" s="396"/>
      <c r="D227" s="397"/>
      <c r="E227" s="396" t="s">
        <v>18</v>
      </c>
      <c r="F227" s="347"/>
      <c r="G227" s="280"/>
      <c r="H227" s="280"/>
    </row>
    <row r="228" spans="1:12" s="346" customFormat="1" ht="14.25" thickTop="1" thickBot="1" x14ac:dyDescent="0.25">
      <c r="A228" s="398" t="s">
        <v>5</v>
      </c>
      <c r="B228" s="273" t="s">
        <v>0</v>
      </c>
      <c r="C228" s="274" t="s">
        <v>1</v>
      </c>
      <c r="D228" s="275" t="s">
        <v>4</v>
      </c>
      <c r="E228" s="276" t="s">
        <v>6</v>
      </c>
      <c r="F228" s="347"/>
      <c r="G228" s="280"/>
      <c r="H228" s="280"/>
    </row>
    <row r="229" spans="1:12" s="346" customFormat="1" ht="15.75" thickTop="1" x14ac:dyDescent="0.25">
      <c r="A229" s="406" t="s">
        <v>370</v>
      </c>
      <c r="B229" s="407">
        <f>SUM(B230:B232)</f>
        <v>0</v>
      </c>
      <c r="C229" s="407">
        <f>SUM(C230:C232)</f>
        <v>765000</v>
      </c>
      <c r="D229" s="407">
        <f>SUM(D230:D232)</f>
        <v>534724</v>
      </c>
      <c r="E229" s="307">
        <f>D229/C229*100</f>
        <v>69.898562091503265</v>
      </c>
      <c r="F229" s="347"/>
      <c r="G229" s="280"/>
      <c r="H229" s="280"/>
    </row>
    <row r="230" spans="1:12" s="346" customFormat="1" x14ac:dyDescent="0.2">
      <c r="A230" s="615" t="s">
        <v>536</v>
      </c>
      <c r="B230" s="403">
        <v>0</v>
      </c>
      <c r="C230" s="403">
        <v>165000</v>
      </c>
      <c r="D230" s="403">
        <v>56290</v>
      </c>
      <c r="E230" s="287">
        <f>D230/C230*100</f>
        <v>34.115151515151517</v>
      </c>
      <c r="F230" s="347">
        <v>101429</v>
      </c>
      <c r="G230" s="555" t="s">
        <v>374</v>
      </c>
      <c r="H230" s="280"/>
    </row>
    <row r="231" spans="1:12" s="346" customFormat="1" x14ac:dyDescent="0.2">
      <c r="A231" s="615" t="s">
        <v>537</v>
      </c>
      <c r="B231" s="403">
        <v>0</v>
      </c>
      <c r="C231" s="403">
        <v>300000</v>
      </c>
      <c r="D231" s="403">
        <v>214775</v>
      </c>
      <c r="E231" s="287">
        <f>D231/C231*100</f>
        <v>71.591666666666669</v>
      </c>
      <c r="F231" s="347">
        <v>101434</v>
      </c>
      <c r="G231" s="392" t="s">
        <v>516</v>
      </c>
      <c r="H231" s="280"/>
    </row>
    <row r="232" spans="1:12" s="346" customFormat="1" ht="13.5" thickBot="1" x14ac:dyDescent="0.25">
      <c r="A232" s="616" t="s">
        <v>538</v>
      </c>
      <c r="B232" s="472">
        <v>0</v>
      </c>
      <c r="C232" s="472">
        <v>300000</v>
      </c>
      <c r="D232" s="472">
        <v>263659</v>
      </c>
      <c r="E232" s="438">
        <f>D232/C232*100</f>
        <v>87.88633333333334</v>
      </c>
      <c r="F232" s="347">
        <v>101435</v>
      </c>
      <c r="G232" s="392" t="s">
        <v>516</v>
      </c>
      <c r="H232" s="280"/>
    </row>
    <row r="233" spans="1:12" s="346" customFormat="1" ht="15.75" thickTop="1" x14ac:dyDescent="0.25">
      <c r="A233" s="408"/>
      <c r="B233" s="409"/>
      <c r="C233" s="409"/>
      <c r="D233" s="409"/>
      <c r="E233" s="410"/>
      <c r="F233" s="347"/>
      <c r="G233" s="280"/>
      <c r="H233" s="280"/>
      <c r="I233" s="343" t="s">
        <v>36</v>
      </c>
      <c r="J233" s="344">
        <f>B231+B232</f>
        <v>0</v>
      </c>
      <c r="K233" s="344">
        <f t="shared" ref="K233:L233" si="32">C231+C232</f>
        <v>600000</v>
      </c>
      <c r="L233" s="344">
        <f t="shared" si="32"/>
        <v>478434</v>
      </c>
    </row>
    <row r="234" spans="1:12" s="346" customFormat="1" ht="15" x14ac:dyDescent="0.25">
      <c r="A234" s="408"/>
      <c r="B234" s="409"/>
      <c r="C234" s="409"/>
      <c r="D234" s="409"/>
      <c r="E234" s="410"/>
      <c r="F234" s="347"/>
      <c r="G234" s="280"/>
      <c r="H234" s="280"/>
      <c r="J234" s="618">
        <f>B230</f>
        <v>0</v>
      </c>
      <c r="K234" s="618">
        <f t="shared" ref="K234:L234" si="33">C230</f>
        <v>165000</v>
      </c>
      <c r="L234" s="618">
        <f t="shared" si="33"/>
        <v>56290</v>
      </c>
    </row>
    <row r="235" spans="1:12" s="346" customFormat="1" ht="18.75" thickBot="1" x14ac:dyDescent="0.25">
      <c r="A235" s="404" t="s">
        <v>371</v>
      </c>
      <c r="B235" s="405">
        <f>B229</f>
        <v>0</v>
      </c>
      <c r="C235" s="405">
        <f>C229</f>
        <v>765000</v>
      </c>
      <c r="D235" s="405">
        <f>D229</f>
        <v>534724</v>
      </c>
      <c r="E235" s="323">
        <f>D235/C235*100</f>
        <v>69.898562091503265</v>
      </c>
      <c r="F235" s="347"/>
      <c r="G235" s="280"/>
      <c r="H235" s="280"/>
      <c r="J235" s="395">
        <f>SUM(J233:J234)</f>
        <v>0</v>
      </c>
      <c r="K235" s="395">
        <f t="shared" ref="K235:L235" si="34">SUM(K233:K234)</f>
        <v>765000</v>
      </c>
      <c r="L235" s="395">
        <f t="shared" si="34"/>
        <v>534724</v>
      </c>
    </row>
    <row r="236" spans="1:12" ht="13.5" thickTop="1" x14ac:dyDescent="0.2">
      <c r="F236" s="415"/>
      <c r="G236" s="280"/>
      <c r="H236" s="280"/>
    </row>
    <row r="237" spans="1:12" x14ac:dyDescent="0.2">
      <c r="F237" s="415"/>
      <c r="G237" s="280"/>
      <c r="H237" s="280"/>
    </row>
    <row r="238" spans="1:12" x14ac:dyDescent="0.2">
      <c r="F238" s="415"/>
      <c r="G238" s="280"/>
      <c r="H238" s="280"/>
    </row>
    <row r="239" spans="1:12" x14ac:dyDescent="0.2">
      <c r="F239" s="415"/>
      <c r="G239" s="280"/>
      <c r="H239" s="280"/>
    </row>
    <row r="240" spans="1:12" ht="14.25" x14ac:dyDescent="0.2">
      <c r="A240" s="416" t="s">
        <v>12</v>
      </c>
      <c r="B240" s="416"/>
      <c r="C240" s="416"/>
      <c r="D240" s="416"/>
      <c r="E240" s="417"/>
      <c r="F240" s="418"/>
      <c r="G240" s="280"/>
      <c r="H240" s="280"/>
    </row>
    <row r="241" spans="1:12" ht="14.25" x14ac:dyDescent="0.2">
      <c r="A241" s="419" t="s">
        <v>16</v>
      </c>
      <c r="B241" s="414">
        <f>SUM(B79)</f>
        <v>137645000</v>
      </c>
      <c r="C241" s="414">
        <f>SUM(C79)</f>
        <v>197930781.62</v>
      </c>
      <c r="D241" s="414">
        <f>SUM(D79)</f>
        <v>190930586.69</v>
      </c>
      <c r="E241" s="420">
        <f t="shared" ref="E241:E250" si="35">D241/C241*100</f>
        <v>96.463311632124288</v>
      </c>
      <c r="F241" s="421"/>
      <c r="G241" s="280"/>
      <c r="H241" s="280"/>
    </row>
    <row r="242" spans="1:12" ht="14.25" x14ac:dyDescent="0.2">
      <c r="A242" s="419" t="s">
        <v>15</v>
      </c>
      <c r="B242" s="414">
        <f>SUM(B110)</f>
        <v>22780000</v>
      </c>
      <c r="C242" s="414">
        <f>SUM(C110)</f>
        <v>46820672.849999994</v>
      </c>
      <c r="D242" s="414">
        <f>SUM(D110)</f>
        <v>31010150.309999999</v>
      </c>
      <c r="E242" s="420">
        <f t="shared" si="35"/>
        <v>66.231748546945539</v>
      </c>
      <c r="F242" s="422"/>
      <c r="G242" s="280"/>
      <c r="H242" s="280"/>
    </row>
    <row r="243" spans="1:12" ht="14.25" x14ac:dyDescent="0.2">
      <c r="A243" s="419" t="s">
        <v>17</v>
      </c>
      <c r="B243" s="414">
        <f>SUM(B130)</f>
        <v>11158000</v>
      </c>
      <c r="C243" s="414">
        <f>SUM(C130)</f>
        <v>72534230.810000002</v>
      </c>
      <c r="D243" s="414">
        <f>SUM(D130)</f>
        <v>66694740.229999997</v>
      </c>
      <c r="E243" s="420">
        <f t="shared" si="35"/>
        <v>91.949331350467787</v>
      </c>
      <c r="G243" s="280"/>
      <c r="H243" s="280"/>
    </row>
    <row r="244" spans="1:12" ht="14.25" x14ac:dyDescent="0.2">
      <c r="A244" s="419" t="s">
        <v>13</v>
      </c>
      <c r="B244" s="414">
        <f>SUM(B164)</f>
        <v>163818000</v>
      </c>
      <c r="C244" s="414">
        <f>SUM(C164)</f>
        <v>499082402.85000008</v>
      </c>
      <c r="D244" s="414">
        <f>SUM(D164)</f>
        <v>464901779.83000004</v>
      </c>
      <c r="E244" s="420">
        <f t="shared" si="35"/>
        <v>93.151306713117449</v>
      </c>
      <c r="G244" s="280"/>
      <c r="H244" s="280"/>
    </row>
    <row r="245" spans="1:12" ht="14.25" x14ac:dyDescent="0.2">
      <c r="A245" s="419" t="s">
        <v>14</v>
      </c>
      <c r="B245" s="414">
        <f>SUM(B186)</f>
        <v>11636000</v>
      </c>
      <c r="C245" s="414">
        <f>SUM(C186)</f>
        <v>13143074.550000001</v>
      </c>
      <c r="D245" s="414">
        <f>SUM(D186)</f>
        <v>11982227.130000001</v>
      </c>
      <c r="E245" s="420">
        <f t="shared" si="35"/>
        <v>91.167611386637077</v>
      </c>
      <c r="G245" s="280"/>
      <c r="H245" s="280"/>
      <c r="I245" s="364" t="s">
        <v>38</v>
      </c>
      <c r="J245" s="442">
        <f>J157+J158+J159+J160</f>
        <v>133873000</v>
      </c>
      <c r="K245" s="442">
        <f>K157+K158+K159+K160</f>
        <v>435163221.18000007</v>
      </c>
      <c r="L245" s="442">
        <f>L157+L158+L159+L160</f>
        <v>400982598.16000009</v>
      </c>
    </row>
    <row r="246" spans="1:12" ht="14.25" x14ac:dyDescent="0.2">
      <c r="A246" s="419" t="s">
        <v>68</v>
      </c>
      <c r="B246" s="414">
        <f>B200</f>
        <v>2475000</v>
      </c>
      <c r="C246" s="414">
        <f>C200</f>
        <v>5107019.57</v>
      </c>
      <c r="D246" s="414">
        <f>D200</f>
        <v>4627024.7</v>
      </c>
      <c r="E246" s="420">
        <f t="shared" si="35"/>
        <v>90.601272162346532</v>
      </c>
      <c r="G246" s="280"/>
      <c r="H246" s="280"/>
      <c r="I246" s="285" t="s">
        <v>40</v>
      </c>
      <c r="J246" s="426">
        <f>J127+J128+J105+J106+J74+J75</f>
        <v>163572000</v>
      </c>
      <c r="K246" s="426">
        <f>K127+K128+K105+K106+K74+K75</f>
        <v>302206283.94</v>
      </c>
      <c r="L246" s="426">
        <f>L127+L128+L105+L106+L74+L75</f>
        <v>275984472.43000001</v>
      </c>
    </row>
    <row r="247" spans="1:12" ht="14.25" x14ac:dyDescent="0.2">
      <c r="A247" s="419" t="s">
        <v>44</v>
      </c>
      <c r="B247" s="414">
        <f>B211</f>
        <v>648000</v>
      </c>
      <c r="C247" s="414">
        <f>C211</f>
        <v>6249649.1200000001</v>
      </c>
      <c r="D247" s="414">
        <f>D211</f>
        <v>6190119.6900000004</v>
      </c>
      <c r="E247" s="420">
        <f t="shared" si="35"/>
        <v>99.047475644520659</v>
      </c>
      <c r="G247" s="280"/>
      <c r="H247" s="280"/>
      <c r="I247" s="297" t="s">
        <v>36</v>
      </c>
      <c r="J247" s="428">
        <f>J233+J221+J222+J210+J209+J199+J184+J183+J77+J76+J234+J200</f>
        <v>17249000</v>
      </c>
      <c r="K247" s="428">
        <f t="shared" ref="K247:L247" si="36">K233+K221+K222+K210+K209+K199+K184+K183+K77+K76+K234+K200</f>
        <v>64616746.310000002</v>
      </c>
      <c r="L247" s="428">
        <f t="shared" si="36"/>
        <v>62643227.299999997</v>
      </c>
    </row>
    <row r="248" spans="1:12" ht="14.25" x14ac:dyDescent="0.2">
      <c r="A248" s="419" t="s">
        <v>57</v>
      </c>
      <c r="B248" s="414">
        <f>B223</f>
        <v>2907000</v>
      </c>
      <c r="C248" s="414">
        <f>C223</f>
        <v>28280997.300000001</v>
      </c>
      <c r="D248" s="414">
        <f>D223</f>
        <v>28208342.800000001</v>
      </c>
      <c r="E248" s="420">
        <f t="shared" si="35"/>
        <v>99.743097815012348</v>
      </c>
      <c r="G248" s="280"/>
      <c r="H248" s="280"/>
      <c r="I248" s="308" t="s">
        <v>34</v>
      </c>
      <c r="J248" s="429">
        <f>J185+J161+J78+J129+J107+J162</f>
        <v>38373000</v>
      </c>
      <c r="K248" s="429">
        <f>K185+K161+K78+K129+K107+K162</f>
        <v>67927577.24000001</v>
      </c>
      <c r="L248" s="429">
        <f>L185+L161+L78+L129+L107+L162</f>
        <v>65469397.490000002</v>
      </c>
    </row>
    <row r="249" spans="1:12" ht="15" x14ac:dyDescent="0.25">
      <c r="A249" s="419" t="s">
        <v>372</v>
      </c>
      <c r="B249" s="414">
        <f>B235</f>
        <v>0</v>
      </c>
      <c r="C249" s="414">
        <f>C235</f>
        <v>765000</v>
      </c>
      <c r="D249" s="414">
        <f>D235</f>
        <v>534724</v>
      </c>
      <c r="E249" s="420">
        <f t="shared" si="35"/>
        <v>69.898562091503265</v>
      </c>
      <c r="G249" s="280"/>
      <c r="H249" s="280"/>
      <c r="I249" s="267"/>
      <c r="J249" s="292">
        <f>SUM(J245:J248)</f>
        <v>353067000</v>
      </c>
      <c r="K249" s="292">
        <f>SUM(K245:K248)</f>
        <v>869913828.67000008</v>
      </c>
      <c r="L249" s="292">
        <f>SUM(L245:L248)</f>
        <v>805079695.38000011</v>
      </c>
    </row>
    <row r="250" spans="1:12" ht="15.75" thickBot="1" x14ac:dyDescent="0.25">
      <c r="A250" s="423" t="s">
        <v>3</v>
      </c>
      <c r="B250" s="424">
        <f>SUM(B241:B249)</f>
        <v>353067000</v>
      </c>
      <c r="C250" s="424">
        <f>SUM(C241:C249)</f>
        <v>869913828.67000008</v>
      </c>
      <c r="D250" s="424">
        <f>SUM(D241:D249)</f>
        <v>805079695.38000011</v>
      </c>
      <c r="E250" s="425">
        <f t="shared" si="35"/>
        <v>92.54706257640207</v>
      </c>
    </row>
    <row r="251" spans="1:12" ht="13.5" thickTop="1" x14ac:dyDescent="0.2">
      <c r="F251" s="260"/>
      <c r="G251" s="260"/>
      <c r="H251" s="427"/>
    </row>
    <row r="252" spans="1:12" x14ac:dyDescent="0.2">
      <c r="F252" s="260"/>
      <c r="G252" s="260"/>
      <c r="I252" s="267"/>
      <c r="J252" s="430"/>
      <c r="K252" s="430"/>
      <c r="L252" s="430"/>
    </row>
    <row r="253" spans="1:12" x14ac:dyDescent="0.2">
      <c r="F253" s="260"/>
      <c r="G253" s="260"/>
      <c r="I253" s="556" t="s">
        <v>376</v>
      </c>
      <c r="J253" s="446">
        <f>J222+J159+J128+J106+J77+J75+J210</f>
        <v>0</v>
      </c>
      <c r="K253" s="446">
        <f>K222+K159+K128+K106+K77+K75+K210</f>
        <v>444141962.25000006</v>
      </c>
      <c r="L253" s="446">
        <f>L222+L159+L128+L106+L77+L75+L210</f>
        <v>444141962.06000006</v>
      </c>
    </row>
    <row r="254" spans="1:12" x14ac:dyDescent="0.2">
      <c r="A254" s="431"/>
      <c r="B254" s="432"/>
      <c r="C254" s="432"/>
      <c r="D254" s="432"/>
      <c r="E254" s="396"/>
      <c r="F254" s="260"/>
      <c r="G254" s="260"/>
      <c r="I254" s="444" t="s">
        <v>377</v>
      </c>
      <c r="J254" s="563">
        <f>J158</f>
        <v>31730000</v>
      </c>
      <c r="K254" s="563">
        <f>K158</f>
        <v>37747991.950000003</v>
      </c>
      <c r="L254" s="563">
        <f>L158</f>
        <v>28630986</v>
      </c>
    </row>
    <row r="255" spans="1:12" x14ac:dyDescent="0.2">
      <c r="A255" s="433"/>
      <c r="B255" s="434"/>
      <c r="C255" s="434"/>
      <c r="D255" s="434"/>
      <c r="E255" s="396"/>
      <c r="F255" s="260"/>
      <c r="G255" s="260"/>
      <c r="I255" s="575" t="s">
        <v>378</v>
      </c>
      <c r="J255" s="430">
        <f>J233+J221+J209+J199+J183+J157+J127+J105+J76+J74+J185+J161+J78+J129+J107</f>
        <v>321337000</v>
      </c>
      <c r="K255" s="430">
        <f>K233+K221+K209+K199+K183+K157+K127+K105+K76+K74+K185+K161+K78+K129+K107</f>
        <v>341483324.67000002</v>
      </c>
      <c r="L255" s="430">
        <f>L233+L221+L209+L199+L183+L157+L127+L105+L76+L74+L185+L161+L78+L129+L107</f>
        <v>286425838.51999992</v>
      </c>
    </row>
    <row r="256" spans="1:12" x14ac:dyDescent="0.2">
      <c r="A256" s="433"/>
      <c r="B256" s="434"/>
      <c r="C256" s="434"/>
      <c r="D256" s="434"/>
      <c r="E256" s="396"/>
      <c r="F256" s="260"/>
      <c r="G256" s="260"/>
      <c r="I256" s="576" t="s">
        <v>212</v>
      </c>
      <c r="J256" s="577">
        <f>J160+J234+J184+J162+J200</f>
        <v>0</v>
      </c>
      <c r="K256" s="577">
        <f t="shared" ref="K256:L256" si="37">K160+K234+K184+K162+K200</f>
        <v>46540549.799999997</v>
      </c>
      <c r="L256" s="577">
        <f t="shared" si="37"/>
        <v>45880908.799999997</v>
      </c>
    </row>
    <row r="257" spans="1:12" ht="15" x14ac:dyDescent="0.25">
      <c r="A257" s="433"/>
      <c r="B257" s="434"/>
      <c r="C257" s="434"/>
      <c r="D257" s="434"/>
      <c r="E257" s="396"/>
      <c r="F257" s="264"/>
      <c r="G257" s="264"/>
      <c r="J257" s="292">
        <f>SUM(J253:J256)</f>
        <v>353067000</v>
      </c>
      <c r="K257" s="292">
        <f>SUM(K253:K256)</f>
        <v>869913828.67000008</v>
      </c>
      <c r="L257" s="292">
        <f>SUM(L253:L256)</f>
        <v>805079695.37999988</v>
      </c>
    </row>
    <row r="258" spans="1:12" x14ac:dyDescent="0.2">
      <c r="A258" s="435"/>
      <c r="B258" s="397"/>
      <c r="C258" s="397"/>
      <c r="D258" s="397"/>
      <c r="E258" s="396"/>
      <c r="F258" s="264"/>
      <c r="G258" s="264"/>
    </row>
    <row r="259" spans="1:12" x14ac:dyDescent="0.2">
      <c r="A259" s="435"/>
      <c r="B259" s="397"/>
      <c r="C259" s="397"/>
      <c r="D259" s="397"/>
      <c r="E259" s="396"/>
      <c r="F259" s="264"/>
      <c r="G259" s="264"/>
    </row>
    <row r="260" spans="1:12" x14ac:dyDescent="0.2">
      <c r="E260" s="264"/>
      <c r="F260" s="264"/>
      <c r="G260" s="264"/>
    </row>
    <row r="261" spans="1:12" x14ac:dyDescent="0.2">
      <c r="E261" s="264"/>
      <c r="F261" s="264"/>
      <c r="G261" s="264"/>
    </row>
    <row r="262" spans="1:12" x14ac:dyDescent="0.2">
      <c r="E262" s="264"/>
      <c r="F262" s="264"/>
      <c r="G262" s="264"/>
      <c r="J262" s="426"/>
      <c r="K262" s="426"/>
      <c r="L262" s="426"/>
    </row>
    <row r="263" spans="1:12" x14ac:dyDescent="0.2">
      <c r="E263" s="264"/>
      <c r="F263" s="264"/>
      <c r="G263" s="264"/>
      <c r="J263" s="426"/>
      <c r="K263" s="426"/>
      <c r="L263" s="426"/>
    </row>
    <row r="264" spans="1:12" s="266" customFormat="1" x14ac:dyDescent="0.2">
      <c r="A264" s="264"/>
      <c r="B264" s="264"/>
      <c r="C264" s="264"/>
      <c r="D264" s="264"/>
      <c r="E264" s="264"/>
      <c r="G264" s="267"/>
      <c r="H264" s="267"/>
      <c r="I264" s="264"/>
      <c r="J264" s="264"/>
      <c r="K264" s="264"/>
      <c r="L264" s="426"/>
    </row>
    <row r="265" spans="1:12" s="266" customFormat="1" x14ac:dyDescent="0.2">
      <c r="A265" s="264"/>
      <c r="B265" s="264"/>
      <c r="C265" s="264"/>
      <c r="D265" s="264"/>
      <c r="E265" s="264"/>
      <c r="G265" s="267"/>
      <c r="H265" s="267"/>
      <c r="I265" s="264"/>
      <c r="J265" s="264"/>
      <c r="K265" s="264"/>
      <c r="L265" s="264"/>
    </row>
    <row r="266" spans="1:12" s="266" customFormat="1" x14ac:dyDescent="0.2">
      <c r="A266" s="264"/>
      <c r="B266" s="264"/>
      <c r="C266" s="264"/>
      <c r="D266" s="264"/>
      <c r="E266" s="264"/>
      <c r="G266" s="267"/>
      <c r="H266" s="267"/>
      <c r="I266" s="264"/>
      <c r="J266" s="264"/>
      <c r="K266" s="264"/>
      <c r="L266" s="264"/>
    </row>
  </sheetData>
  <mergeCells count="38">
    <mergeCell ref="A207:A208"/>
    <mergeCell ref="A218:A219"/>
    <mergeCell ref="A175:A176"/>
    <mergeCell ref="A147:A148"/>
    <mergeCell ref="A137:A138"/>
    <mergeCell ref="A160:A161"/>
    <mergeCell ref="A152:A153"/>
    <mergeCell ref="A154:A155"/>
    <mergeCell ref="A149:A151"/>
    <mergeCell ref="A172:A174"/>
    <mergeCell ref="A144:A146"/>
    <mergeCell ref="A194:A195"/>
    <mergeCell ref="A196:A197"/>
    <mergeCell ref="A24:A25"/>
    <mergeCell ref="A35:A36"/>
    <mergeCell ref="A26:A27"/>
    <mergeCell ref="A28:A29"/>
    <mergeCell ref="A33:A34"/>
    <mergeCell ref="A39:A40"/>
    <mergeCell ref="A139:A140"/>
    <mergeCell ref="A87:A88"/>
    <mergeCell ref="A117:A118"/>
    <mergeCell ref="A119:A120"/>
    <mergeCell ref="A121:A122"/>
    <mergeCell ref="A58:A59"/>
    <mergeCell ref="A60:A61"/>
    <mergeCell ref="A97:A98"/>
    <mergeCell ref="A62:A63"/>
    <mergeCell ref="A41:A42"/>
    <mergeCell ref="A43:A44"/>
    <mergeCell ref="A89:A90"/>
    <mergeCell ref="A93:A94"/>
    <mergeCell ref="A95:A96"/>
    <mergeCell ref="A19:A20"/>
    <mergeCell ref="A14:A15"/>
    <mergeCell ref="A17:A18"/>
    <mergeCell ref="A10:A11"/>
    <mergeCell ref="A12:A13"/>
  </mergeCells>
  <pageMargins left="0.78740157480314965" right="0.78740157480314965" top="0.98425196850393704" bottom="0.98425196850393704" header="0.51181102362204722" footer="0.51181102362204722"/>
  <pageSetup paperSize="9" scale="40" firstPageNumber="180" fitToHeight="5" orientation="portrait" useFirstPageNumber="1" r:id="rId1"/>
  <headerFooter alignWithMargins="0"/>
  <rowBreaks count="4" manualBreakCount="4">
    <brk id="65" max="4" man="1"/>
    <brk id="130" max="4" man="1"/>
    <brk id="211" max="4" man="1"/>
    <brk id="255" max="4" man="1"/>
  </rowBreaks>
  <ignoredErrors>
    <ignoredError sqref="F101" numberStoredAsText="1"/>
    <ignoredError sqref="E160:E16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9"/>
  <sheetViews>
    <sheetView showGridLines="0" view="pageBreakPreview" zoomScaleNormal="100" zoomScaleSheetLayoutView="100" workbookViewId="0">
      <selection activeCell="A41" sqref="A41"/>
    </sheetView>
  </sheetViews>
  <sheetFormatPr defaultColWidth="9.140625" defaultRowHeight="12.75" x14ac:dyDescent="0.2"/>
  <cols>
    <col min="1" max="1" width="77.7109375" style="5" customWidth="1"/>
    <col min="2" max="2" width="17.140625" style="5" customWidth="1"/>
    <col min="3" max="3" width="17.28515625" style="5" customWidth="1"/>
    <col min="4" max="4" width="17.28515625" style="5" bestFit="1" customWidth="1"/>
    <col min="5" max="5" width="7.5703125" style="37" customWidth="1"/>
    <col min="6" max="6" width="15.28515625" style="93" customWidth="1"/>
    <col min="7" max="7" width="19.140625" style="38" customWidth="1"/>
    <col min="8" max="8" width="9.85546875" style="38" customWidth="1"/>
    <col min="9" max="9" width="17.7109375" style="5" customWidth="1"/>
    <col min="10" max="10" width="18.28515625" style="5" customWidth="1"/>
    <col min="11" max="11" width="18.7109375" style="5" customWidth="1"/>
    <col min="12" max="12" width="17.5703125" style="5" customWidth="1"/>
    <col min="13" max="16384" width="9.140625" style="5"/>
  </cols>
  <sheetData>
    <row r="1" spans="1:8" s="32" customFormat="1" ht="18" x14ac:dyDescent="0.25">
      <c r="A1" s="29" t="s">
        <v>413</v>
      </c>
      <c r="B1" s="29"/>
      <c r="C1" s="29"/>
      <c r="D1" s="29"/>
      <c r="E1" s="29"/>
      <c r="F1" s="92"/>
      <c r="G1" s="30"/>
      <c r="H1" s="31"/>
    </row>
    <row r="2" spans="1:8" s="35" customFormat="1" ht="15.75" x14ac:dyDescent="0.25">
      <c r="A2" s="33" t="s">
        <v>126</v>
      </c>
      <c r="B2" s="34"/>
      <c r="C2" s="34"/>
      <c r="D2" s="34"/>
      <c r="E2" s="34"/>
      <c r="F2" s="92"/>
      <c r="G2" s="30"/>
      <c r="H2" s="31"/>
    </row>
    <row r="3" spans="1:8" ht="12" customHeight="1" x14ac:dyDescent="0.2"/>
    <row r="4" spans="1:8" ht="15" customHeight="1" x14ac:dyDescent="0.25">
      <c r="A4" s="36" t="s">
        <v>219</v>
      </c>
    </row>
    <row r="5" spans="1:8" ht="15" customHeight="1" thickBot="1" x14ac:dyDescent="0.3">
      <c r="A5" s="39" t="s">
        <v>216</v>
      </c>
      <c r="E5" s="40" t="s">
        <v>18</v>
      </c>
    </row>
    <row r="6" spans="1:8" ht="14.25" thickTop="1" thickBot="1" x14ac:dyDescent="0.25">
      <c r="A6" s="41" t="s">
        <v>5</v>
      </c>
      <c r="B6" s="42" t="s">
        <v>0</v>
      </c>
      <c r="C6" s="43" t="s">
        <v>1</v>
      </c>
      <c r="D6" s="44" t="s">
        <v>4</v>
      </c>
      <c r="E6" s="45" t="s">
        <v>6</v>
      </c>
    </row>
    <row r="7" spans="1:8" ht="15.75" thickTop="1" x14ac:dyDescent="0.2">
      <c r="A7" s="46" t="s">
        <v>31</v>
      </c>
      <c r="B7" s="69">
        <f>SUM(B8:B15)</f>
        <v>25788000</v>
      </c>
      <c r="C7" s="69">
        <f>SUM(C8:C15)</f>
        <v>23100402.34</v>
      </c>
      <c r="D7" s="69">
        <f>SUM(D8:D15)</f>
        <v>20116843.140000001</v>
      </c>
      <c r="E7" s="79">
        <f>D7/C7*100</f>
        <v>87.084384262720164</v>
      </c>
      <c r="F7" s="37"/>
    </row>
    <row r="8" spans="1:8" x14ac:dyDescent="0.2">
      <c r="A8" s="254" t="s">
        <v>104</v>
      </c>
      <c r="B8" s="456">
        <v>14546000</v>
      </c>
      <c r="C8" s="255">
        <v>10800997.199999999</v>
      </c>
      <c r="D8" s="255">
        <f>7728907.8+618784.39</f>
        <v>8347692.1899999995</v>
      </c>
      <c r="E8" s="236">
        <f t="shared" ref="E8:E15" si="0">D8/C8*100</f>
        <v>77.286310101071038</v>
      </c>
      <c r="F8" s="86">
        <v>101093</v>
      </c>
      <c r="G8" s="116" t="s">
        <v>32</v>
      </c>
    </row>
    <row r="9" spans="1:8" x14ac:dyDescent="0.2">
      <c r="A9" s="254" t="s">
        <v>220</v>
      </c>
      <c r="B9" s="456">
        <v>0</v>
      </c>
      <c r="C9" s="255">
        <v>569922</v>
      </c>
      <c r="D9" s="255">
        <v>569922</v>
      </c>
      <c r="E9" s="236">
        <f t="shared" si="0"/>
        <v>100</v>
      </c>
      <c r="F9" s="86">
        <v>101183</v>
      </c>
      <c r="G9" s="116" t="s">
        <v>32</v>
      </c>
    </row>
    <row r="10" spans="1:8" x14ac:dyDescent="0.2">
      <c r="A10" s="589" t="s">
        <v>412</v>
      </c>
      <c r="B10" s="545">
        <v>70000</v>
      </c>
      <c r="C10" s="546">
        <v>70000</v>
      </c>
      <c r="D10" s="546">
        <v>63080.2</v>
      </c>
      <c r="E10" s="543">
        <f t="shared" si="0"/>
        <v>90.114571428571423</v>
      </c>
      <c r="F10" s="86">
        <v>101249</v>
      </c>
      <c r="G10" s="116" t="s">
        <v>32</v>
      </c>
    </row>
    <row r="11" spans="1:8" x14ac:dyDescent="0.2">
      <c r="A11" s="589" t="s">
        <v>408</v>
      </c>
      <c r="B11" s="545">
        <v>363000</v>
      </c>
      <c r="C11" s="546">
        <v>80400</v>
      </c>
      <c r="D11" s="546">
        <v>80399</v>
      </c>
      <c r="E11" s="543">
        <f t="shared" si="0"/>
        <v>99.99875621890547</v>
      </c>
      <c r="F11" s="86">
        <v>101328</v>
      </c>
      <c r="G11" s="116" t="s">
        <v>32</v>
      </c>
    </row>
    <row r="12" spans="1:8" x14ac:dyDescent="0.2">
      <c r="A12" s="589" t="s">
        <v>409</v>
      </c>
      <c r="B12" s="545">
        <v>6025000</v>
      </c>
      <c r="C12" s="546">
        <v>539083.39</v>
      </c>
      <c r="D12" s="546">
        <v>15750</v>
      </c>
      <c r="E12" s="543">
        <f t="shared" si="0"/>
        <v>2.9216259102325521</v>
      </c>
      <c r="F12" s="86">
        <v>101329</v>
      </c>
      <c r="G12" s="116" t="s">
        <v>32</v>
      </c>
    </row>
    <row r="13" spans="1:8" x14ac:dyDescent="0.2">
      <c r="A13" s="589" t="s">
        <v>539</v>
      </c>
      <c r="B13" s="545">
        <v>0</v>
      </c>
      <c r="C13" s="546">
        <v>390490.29</v>
      </c>
      <c r="D13" s="546">
        <v>390490.29</v>
      </c>
      <c r="E13" s="543">
        <f t="shared" si="0"/>
        <v>100</v>
      </c>
      <c r="F13" s="86">
        <v>101430</v>
      </c>
      <c r="G13" s="116" t="s">
        <v>32</v>
      </c>
    </row>
    <row r="14" spans="1:8" x14ac:dyDescent="0.2">
      <c r="A14" s="669" t="s">
        <v>221</v>
      </c>
      <c r="B14" s="545">
        <v>4784000</v>
      </c>
      <c r="C14" s="546">
        <v>7566916.6100000003</v>
      </c>
      <c r="D14" s="546">
        <v>7566916.6100000003</v>
      </c>
      <c r="E14" s="543">
        <f t="shared" si="0"/>
        <v>100</v>
      </c>
      <c r="F14" s="86">
        <v>101140</v>
      </c>
      <c r="G14" s="150" t="s">
        <v>515</v>
      </c>
    </row>
    <row r="15" spans="1:8" ht="13.5" thickBot="1" x14ac:dyDescent="0.25">
      <c r="A15" s="670"/>
      <c r="B15" s="457">
        <v>0</v>
      </c>
      <c r="C15" s="455">
        <v>3082592.85</v>
      </c>
      <c r="D15" s="455">
        <v>3082592.85</v>
      </c>
      <c r="E15" s="241">
        <f t="shared" si="0"/>
        <v>100</v>
      </c>
      <c r="F15" s="86">
        <v>101140</v>
      </c>
      <c r="G15" s="445" t="s">
        <v>367</v>
      </c>
    </row>
    <row r="16" spans="1:8" ht="13.5" thickTop="1" x14ac:dyDescent="0.2">
      <c r="A16" s="159"/>
      <c r="B16" s="74"/>
      <c r="C16" s="70"/>
      <c r="D16" s="70"/>
      <c r="E16" s="53"/>
      <c r="F16" s="86"/>
      <c r="G16" s="150"/>
    </row>
    <row r="17" spans="1:11" s="7" customFormat="1" x14ac:dyDescent="0.2">
      <c r="E17" s="53"/>
      <c r="F17" s="83"/>
      <c r="G17" s="57"/>
      <c r="H17" s="57"/>
    </row>
    <row r="18" spans="1:11" ht="18.75" thickBot="1" x14ac:dyDescent="0.25">
      <c r="A18" s="321" t="s">
        <v>23</v>
      </c>
      <c r="B18" s="439">
        <f>B7</f>
        <v>25788000</v>
      </c>
      <c r="C18" s="439">
        <f>C7</f>
        <v>23100402.34</v>
      </c>
      <c r="D18" s="439">
        <f>D7</f>
        <v>20116843.140000001</v>
      </c>
      <c r="E18" s="323">
        <f>D18/C18*100</f>
        <v>87.084384262720164</v>
      </c>
      <c r="F18" s="91"/>
      <c r="G18" s="57"/>
      <c r="H18" s="116" t="s">
        <v>32</v>
      </c>
      <c r="I18" s="232">
        <f>B8+B9+B10+B11+B12+B13</f>
        <v>21004000</v>
      </c>
      <c r="J18" s="232">
        <f t="shared" ref="J18:K18" si="1">C8+C9+C10+C11+C12+C13</f>
        <v>12450892.879999999</v>
      </c>
      <c r="K18" s="232">
        <f t="shared" si="1"/>
        <v>9467333.6799999978</v>
      </c>
    </row>
    <row r="19" spans="1:11" ht="13.5" thickTop="1" x14ac:dyDescent="0.2">
      <c r="B19" s="4"/>
      <c r="F19" s="101"/>
      <c r="G19" s="57"/>
      <c r="H19" s="151" t="s">
        <v>40</v>
      </c>
      <c r="I19" s="171">
        <f>B14</f>
        <v>4784000</v>
      </c>
      <c r="J19" s="171">
        <f>C14</f>
        <v>7566916.6100000003</v>
      </c>
      <c r="K19" s="171">
        <f>D14</f>
        <v>7566916.6100000003</v>
      </c>
    </row>
    <row r="20" spans="1:11" x14ac:dyDescent="0.2">
      <c r="B20" s="4"/>
      <c r="F20" s="101"/>
      <c r="G20" s="57"/>
      <c r="H20" s="151"/>
      <c r="I20" s="564">
        <f>B15</f>
        <v>0</v>
      </c>
      <c r="J20" s="564">
        <f t="shared" ref="J20:K20" si="2">C15</f>
        <v>3082592.85</v>
      </c>
      <c r="K20" s="564">
        <f t="shared" si="2"/>
        <v>3082592.85</v>
      </c>
    </row>
    <row r="21" spans="1:11" ht="15" x14ac:dyDescent="0.25">
      <c r="A21" s="71" t="s">
        <v>12</v>
      </c>
      <c r="B21" s="71"/>
      <c r="C21" s="71"/>
      <c r="D21" s="71"/>
      <c r="E21" s="72"/>
      <c r="F21" s="102"/>
      <c r="G21" s="57"/>
      <c r="H21" s="152"/>
      <c r="I21" s="124">
        <f>SUM(I18:I20)</f>
        <v>25788000</v>
      </c>
      <c r="J21" s="124">
        <f t="shared" ref="J21:K21" si="3">SUM(J18:J20)</f>
        <v>23100402.34</v>
      </c>
      <c r="K21" s="124">
        <f t="shared" si="3"/>
        <v>20116843.140000001</v>
      </c>
    </row>
    <row r="22" spans="1:11" ht="14.25" x14ac:dyDescent="0.2">
      <c r="A22" s="73" t="s">
        <v>115</v>
      </c>
      <c r="B22" s="74">
        <f>B18</f>
        <v>25788000</v>
      </c>
      <c r="C22" s="74">
        <f t="shared" ref="C22:D22" si="4">C18</f>
        <v>23100402.34</v>
      </c>
      <c r="D22" s="74">
        <f t="shared" si="4"/>
        <v>20116843.140000001</v>
      </c>
      <c r="E22" s="75">
        <f t="shared" ref="E22" si="5">D22/C22*100</f>
        <v>87.084384262720164</v>
      </c>
      <c r="F22" s="103"/>
      <c r="G22" s="57"/>
      <c r="H22" s="121"/>
      <c r="I22" s="174"/>
      <c r="J22" s="174"/>
      <c r="K22" s="174"/>
    </row>
    <row r="23" spans="1:11" ht="15.75" thickBot="1" x14ac:dyDescent="0.25">
      <c r="A23" s="76" t="s">
        <v>3</v>
      </c>
      <c r="B23" s="77">
        <f>SUM(B22:B22)</f>
        <v>25788000</v>
      </c>
      <c r="C23" s="77">
        <f>SUM(C22:C22)</f>
        <v>23100402.34</v>
      </c>
      <c r="D23" s="77">
        <f>SUM(D22:D22)</f>
        <v>20116843.140000001</v>
      </c>
      <c r="E23" s="78">
        <f>D23/C23*100</f>
        <v>87.084384262720164</v>
      </c>
      <c r="I23" s="175"/>
      <c r="J23" s="175"/>
      <c r="K23" s="175"/>
    </row>
    <row r="24" spans="1:11" ht="13.5" thickTop="1" x14ac:dyDescent="0.2">
      <c r="F24" s="1"/>
      <c r="G24" s="1"/>
      <c r="I24" s="175"/>
      <c r="J24" s="175"/>
      <c r="K24" s="175"/>
    </row>
    <row r="25" spans="1:11" x14ac:dyDescent="0.2">
      <c r="B25" s="629" t="s">
        <v>575</v>
      </c>
      <c r="F25" s="1"/>
      <c r="G25" s="1"/>
      <c r="I25" s="175"/>
      <c r="J25" s="175"/>
      <c r="K25" s="175"/>
    </row>
    <row r="26" spans="1:11" x14ac:dyDescent="0.2">
      <c r="B26" s="4">
        <f>B18-1088000-70000-43000</f>
        <v>24587000</v>
      </c>
      <c r="F26" s="1"/>
      <c r="G26" s="1"/>
      <c r="H26" s="109"/>
      <c r="I26" s="175"/>
      <c r="J26" s="175"/>
      <c r="K26" s="175"/>
    </row>
    <row r="27" spans="1:11" x14ac:dyDescent="0.2">
      <c r="A27" s="123"/>
      <c r="B27" s="176"/>
      <c r="C27" s="176"/>
      <c r="D27" s="176"/>
      <c r="E27" s="2"/>
      <c r="F27" s="1"/>
      <c r="G27" s="1"/>
      <c r="I27" s="4"/>
      <c r="J27" s="4"/>
      <c r="K27" s="4"/>
    </row>
    <row r="28" spans="1:11" x14ac:dyDescent="0.2">
      <c r="A28" s="177"/>
      <c r="B28" s="178"/>
      <c r="C28" s="178"/>
      <c r="D28" s="178"/>
      <c r="E28" s="2"/>
      <c r="F28" s="1"/>
      <c r="G28" s="1"/>
    </row>
    <row r="29" spans="1:11" x14ac:dyDescent="0.2">
      <c r="A29" s="177"/>
      <c r="B29" s="178"/>
      <c r="C29" s="178"/>
      <c r="D29" s="178"/>
      <c r="E29" s="2"/>
      <c r="F29" s="1"/>
      <c r="G29" s="1"/>
    </row>
    <row r="30" spans="1:11" x14ac:dyDescent="0.2">
      <c r="A30" s="177"/>
      <c r="B30" s="178"/>
      <c r="C30" s="178"/>
      <c r="D30" s="178"/>
      <c r="E30" s="2"/>
      <c r="F30" s="5"/>
      <c r="G30" s="5"/>
    </row>
    <row r="31" spans="1:11" x14ac:dyDescent="0.2">
      <c r="A31" s="122"/>
      <c r="B31" s="108"/>
      <c r="C31" s="108"/>
      <c r="D31" s="108"/>
      <c r="E31" s="2"/>
      <c r="F31" s="5"/>
      <c r="G31" s="5"/>
    </row>
    <row r="32" spans="1:11" x14ac:dyDescent="0.2">
      <c r="A32" s="122"/>
      <c r="B32" s="108"/>
      <c r="C32" s="108"/>
      <c r="D32" s="108"/>
      <c r="E32" s="2"/>
      <c r="F32" s="5"/>
      <c r="G32" s="5"/>
    </row>
    <row r="33" spans="5:11" x14ac:dyDescent="0.2">
      <c r="E33" s="5"/>
      <c r="F33" s="5"/>
      <c r="G33" s="5"/>
    </row>
    <row r="34" spans="5:11" x14ac:dyDescent="0.2">
      <c r="E34" s="5"/>
      <c r="F34" s="5"/>
      <c r="G34" s="5"/>
      <c r="K34" s="4"/>
    </row>
    <row r="35" spans="5:11" x14ac:dyDescent="0.2">
      <c r="E35" s="5"/>
      <c r="F35" s="5"/>
      <c r="G35" s="5"/>
    </row>
    <row r="36" spans="5:11" x14ac:dyDescent="0.2">
      <c r="E36" s="5"/>
      <c r="F36" s="5"/>
      <c r="G36" s="5"/>
    </row>
    <row r="37" spans="5:11" x14ac:dyDescent="0.2">
      <c r="E37" s="5"/>
    </row>
    <row r="38" spans="5:11" x14ac:dyDescent="0.2">
      <c r="E38" s="5"/>
    </row>
    <row r="39" spans="5:11" x14ac:dyDescent="0.2">
      <c r="E39" s="5"/>
    </row>
  </sheetData>
  <mergeCells count="1">
    <mergeCell ref="A14:A15"/>
  </mergeCells>
  <pageMargins left="0.78740157480314965" right="0.78740157480314965" top="0.98425196850393704" bottom="0.98425196850393704" header="0.51181102362204722" footer="0.51181102362204722"/>
  <pageSetup paperSize="9" scale="60" firstPageNumber="183" fitToHeight="5" orientation="portrait" useFirstPageNumber="1" r:id="rId1"/>
  <headerFooter alignWithMargins="0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</vt:lpstr>
      <vt:lpstr>rekapitulace PO</vt:lpstr>
      <vt:lpstr>8a) OK 2019</vt:lpstr>
      <vt:lpstr>8b) Projekty spolufinancované</vt:lpstr>
      <vt:lpstr>8c) SMN</vt:lpstr>
      <vt:lpstr>'8a) OK 2019'!Oblast_tisku</vt:lpstr>
      <vt:lpstr>'8b) Projekty spolufinancované'!Oblast_tisku</vt:lpstr>
      <vt:lpstr>'8c) SMN'!Oblast_tisku</vt:lpstr>
      <vt:lpstr>Rekapitulace!Oblast_tisku</vt:lpstr>
      <vt:lpstr>'rekapitulace PO'!Oblast_tisku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Foret Oldřich</cp:lastModifiedBy>
  <cp:lastPrinted>2020-05-14T11:48:15Z</cp:lastPrinted>
  <dcterms:created xsi:type="dcterms:W3CDTF">2010-08-09T11:30:13Z</dcterms:created>
  <dcterms:modified xsi:type="dcterms:W3CDTF">2020-06-01T09:53:13Z</dcterms:modified>
</cp:coreProperties>
</file>