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30" windowWidth="19320" windowHeight="11295"/>
  </bookViews>
  <sheets>
    <sheet name="stránky" sheetId="3" r:id="rId1"/>
    <sheet name="bi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1">bilance!$A$1:$G$64</definedName>
    <definedName name="_xlnm.Print_Area" localSheetId="0">stránky!$A$1:$I$79</definedName>
  </definedNames>
  <calcPr calcId="145621"/>
</workbook>
</file>

<file path=xl/calcChain.xml><?xml version="1.0" encoding="utf-8"?>
<calcChain xmlns="http://schemas.openxmlformats.org/spreadsheetml/2006/main">
  <c r="F43" i="1" l="1"/>
  <c r="F41" i="1" l="1"/>
  <c r="F40" i="1"/>
  <c r="F39" i="1"/>
  <c r="F38" i="1"/>
  <c r="F37" i="1"/>
  <c r="F36" i="1"/>
  <c r="F35" i="1"/>
  <c r="F34" i="1" l="1"/>
  <c r="D59" i="1"/>
  <c r="C62" i="1"/>
  <c r="C29" i="1" l="1"/>
  <c r="C7" i="1" l="1"/>
  <c r="C19" i="1" l="1"/>
  <c r="C13" i="1" l="1"/>
  <c r="C11" i="1"/>
  <c r="C10" i="1"/>
  <c r="C9" i="1"/>
  <c r="E34" i="1" l="1"/>
  <c r="C39" i="1" l="1"/>
  <c r="C34" i="1" s="1"/>
  <c r="C33" i="1" s="1"/>
  <c r="C51" i="1" s="1"/>
  <c r="C53" i="1" s="1"/>
  <c r="C70" i="1" l="1"/>
  <c r="C22" i="1"/>
  <c r="C24" i="1" s="1"/>
  <c r="F11" i="1" l="1"/>
  <c r="F10" i="1"/>
  <c r="F9" i="1"/>
  <c r="F7" i="1"/>
  <c r="F17" i="1" l="1"/>
  <c r="F46" i="1" l="1"/>
  <c r="D49" i="1"/>
  <c r="D46" i="1" s="1"/>
  <c r="F61" i="1" l="1"/>
  <c r="F62" i="1" s="1"/>
  <c r="G59" i="1" l="1"/>
  <c r="D58" i="1"/>
  <c r="F15" i="1"/>
  <c r="F14" i="1"/>
  <c r="F13" i="1"/>
  <c r="F8" i="1"/>
  <c r="F5" i="1"/>
  <c r="D15" i="1"/>
  <c r="D14" i="1"/>
  <c r="D13" i="1"/>
  <c r="D12" i="1"/>
  <c r="D11" i="1"/>
  <c r="D10" i="1"/>
  <c r="D9" i="1"/>
  <c r="D8" i="1"/>
  <c r="D7" i="1"/>
  <c r="D6" i="1"/>
  <c r="D5" i="1"/>
  <c r="C69" i="1" l="1"/>
  <c r="C71" i="1" s="1"/>
  <c r="D22" i="1"/>
  <c r="G7" i="1"/>
  <c r="D32" i="1" l="1"/>
  <c r="G32" i="1" s="1"/>
  <c r="D29" i="1"/>
  <c r="G29" i="1" l="1"/>
  <c r="D41" i="1"/>
  <c r="D40" i="1"/>
  <c r="D39" i="1"/>
  <c r="D38" i="1"/>
  <c r="D36" i="1"/>
  <c r="D37" i="1"/>
  <c r="D35" i="1"/>
  <c r="D34" i="1" l="1"/>
  <c r="G34" i="1" s="1"/>
  <c r="G38" i="1"/>
  <c r="G40" i="1"/>
  <c r="G36" i="1"/>
  <c r="F33" i="1"/>
  <c r="F51" i="1" s="1"/>
  <c r="F53" i="1" s="1"/>
  <c r="G37" i="1"/>
  <c r="G39" i="1"/>
  <c r="G41" i="1"/>
  <c r="D33" i="1"/>
  <c r="G35" i="1"/>
  <c r="G33" i="1" l="1"/>
  <c r="D51" i="1"/>
  <c r="G48" i="1"/>
  <c r="G49" i="1"/>
  <c r="G47" i="1"/>
  <c r="E46" i="1"/>
  <c r="G11" i="1" l="1"/>
  <c r="G10" i="1"/>
  <c r="E33" i="1" l="1"/>
  <c r="E51" i="1" s="1"/>
  <c r="D62" i="1" l="1"/>
  <c r="G46" i="1" l="1"/>
  <c r="E69" i="1" l="1"/>
  <c r="D53" i="1" l="1"/>
  <c r="D70" i="1" s="1"/>
  <c r="G61" i="1" l="1"/>
  <c r="G52" i="1"/>
  <c r="G43" i="1"/>
  <c r="G44" i="1"/>
  <c r="G45" i="1"/>
  <c r="G23" i="1"/>
  <c r="G14" i="1"/>
  <c r="G15" i="1"/>
  <c r="G8" i="1"/>
  <c r="G20" i="1"/>
  <c r="G21" i="1"/>
  <c r="G6" i="1"/>
  <c r="G13" i="1"/>
  <c r="G5" i="1" l="1"/>
  <c r="E53" i="1" l="1"/>
  <c r="E70" i="1" l="1"/>
  <c r="E71" i="1" s="1"/>
  <c r="E5" i="1" l="1"/>
  <c r="E62" i="1" l="1"/>
  <c r="E12" i="1" l="1"/>
  <c r="E13" i="1"/>
  <c r="E10" i="1"/>
  <c r="E9" i="1"/>
  <c r="D24" i="1" l="1"/>
  <c r="D69" i="1" s="1"/>
  <c r="G9" i="1"/>
  <c r="D71" i="1" l="1"/>
  <c r="E8" i="1"/>
  <c r="E22" i="1" s="1"/>
  <c r="E24" i="1" s="1"/>
  <c r="G62" i="1" l="1"/>
  <c r="G12" i="1" l="1"/>
  <c r="G51" i="1" l="1"/>
  <c r="F70" i="1"/>
  <c r="G53" i="1" l="1"/>
  <c r="F16" i="1"/>
  <c r="F22" i="1" s="1"/>
  <c r="G22" i="1" l="1"/>
  <c r="F24" i="1"/>
  <c r="F69" i="1" l="1"/>
  <c r="F71" i="1" s="1"/>
  <c r="F64" i="1" s="1"/>
  <c r="G24" i="1"/>
</calcChain>
</file>

<file path=xl/sharedStrings.xml><?xml version="1.0" encoding="utf-8"?>
<sst xmlns="http://schemas.openxmlformats.org/spreadsheetml/2006/main" count="198" uniqueCount="166">
  <si>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</si>
  <si>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</si>
  <si>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</si>
  <si>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</si>
  <si>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</si>
  <si>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</si>
  <si>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</si>
  <si>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</si>
  <si>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</si>
  <si>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</si>
  <si>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</si>
  <si>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</si>
  <si>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</si>
  <si>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</si>
  <si>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</si>
  <si>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</si>
  <si>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</si>
  <si>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</si>
  <si>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</si>
  <si>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Evropské programy</t>
  </si>
  <si>
    <t>Výdaje Olomouckého kraje celkem</t>
  </si>
  <si>
    <t>Příjmy Olomouckého kraje celkem (po konsolidaci)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</si>
  <si>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</si>
  <si>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</si>
  <si>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</si>
  <si>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</si>
  <si>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 xml:space="preserve"> </t>
  </si>
  <si>
    <t>Rekapitulace</t>
  </si>
  <si>
    <t>Zastupitelé</t>
  </si>
  <si>
    <t>Odbor ekonomický</t>
  </si>
  <si>
    <t>Odbor životního prostředí a zemědělství</t>
  </si>
  <si>
    <t>Odbor sociálních věcí</t>
  </si>
  <si>
    <t>Odbor dopravy a silničního hospodářství</t>
  </si>
  <si>
    <t>Odbor zdravotnictví</t>
  </si>
  <si>
    <t>Útvar interního auditu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</si>
  <si>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</si>
  <si>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</si>
  <si>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</si>
  <si>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</si>
  <si>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</si>
  <si>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</si>
  <si>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</si>
  <si>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</si>
  <si>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</si>
  <si>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Odbor tajemníka hejtmana</t>
  </si>
  <si>
    <t>Původní návrh na rok 2014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</si>
  <si>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</si>
  <si>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</si>
  <si>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</si>
  <si>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</si>
  <si>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FINANCOVÁNÍ</t>
  </si>
  <si>
    <t xml:space="preserve">Příjmy včetně financování </t>
  </si>
  <si>
    <t xml:space="preserve">Výdaje včetně financování </t>
  </si>
  <si>
    <t>Rozdíl</t>
  </si>
  <si>
    <t xml:space="preserve">           příspěvek na provoz - dopravní obslužnost</t>
  </si>
  <si>
    <t xml:space="preserve">Odbory - provozní výdaje </t>
  </si>
  <si>
    <t>Odbor kancelář ředitele</t>
  </si>
  <si>
    <t xml:space="preserve">Odbor podpory řízení příspěvkových organizací </t>
  </si>
  <si>
    <t>Příjmy z poskytnutých služeb a výrobků</t>
  </si>
  <si>
    <t>Krátkodobé přijaté půjčené prostředky</t>
  </si>
  <si>
    <t>Odbor veřejných zakázek a investic</t>
  </si>
  <si>
    <t>Schválený rozpočet 2016</t>
  </si>
  <si>
    <t>Návrh rozpočtu 2017</t>
  </si>
  <si>
    <t>1. Bilance příjmů, výdajů a financování Olomouckého kraje na rok 2017</t>
  </si>
  <si>
    <t xml:space="preserve">           příspěvek na provoz - účelově určený příspěvek </t>
  </si>
  <si>
    <t xml:space="preserve">           rezerva pro PO </t>
  </si>
  <si>
    <t>Dotační programy / tituly</t>
  </si>
  <si>
    <t>a) rozpracované z rozpočtu OK</t>
  </si>
  <si>
    <t>c) nové z rozpočtu OK</t>
  </si>
  <si>
    <t xml:space="preserve">Rozdíl </t>
  </si>
  <si>
    <t xml:space="preserve">Neinvestiční přijaté transfery od obcí    </t>
  </si>
  <si>
    <t xml:space="preserve">Ostatní investiční přijaté transfery ze státního rozpočtu </t>
  </si>
  <si>
    <t>d) rezerva na investiční akce</t>
  </si>
  <si>
    <t>1. Bilance  příjmů, výdajů a financování Olomouckého kraje na rok 2017</t>
  </si>
  <si>
    <t>2. Příjmy Olomouckého kraje na rok 2017</t>
  </si>
  <si>
    <t>Příjmy Olomouckého kraje na rok 2017</t>
  </si>
  <si>
    <t>Návrh daňových příjmů Olomouckého kraje na rok 2017</t>
  </si>
  <si>
    <t>8</t>
  </si>
  <si>
    <t xml:space="preserve">Příjmy Olomouckého kraje na rok 2017 - přehled za odbory </t>
  </si>
  <si>
    <t>Příjmy Olomouckého kraje na rok 2017 - odvody příspěvkových organizací</t>
  </si>
  <si>
    <t>3. Výdaje Olomouckého kraje na rok 2017</t>
  </si>
  <si>
    <t>Odbor majetkoprávní, právní a správních činností</t>
  </si>
  <si>
    <t>Odbor strategického rozvoje kraje</t>
  </si>
  <si>
    <t>Odbor školství, sportu  a kultury</t>
  </si>
  <si>
    <t>47</t>
  </si>
  <si>
    <t>48</t>
  </si>
  <si>
    <t>Odbor  kontroly</t>
  </si>
  <si>
    <t>a) Odbory Krajského úřadu Olomouckého kraje</t>
  </si>
  <si>
    <t>b) dotační programy / tituly</t>
  </si>
  <si>
    <t>58</t>
  </si>
  <si>
    <t>61-62</t>
  </si>
  <si>
    <t>65</t>
  </si>
  <si>
    <t>66</t>
  </si>
  <si>
    <t>c) Příspěvkové organizace zřizované Olomouckým krajem</t>
  </si>
  <si>
    <t>d) Fond sociálních potřeb</t>
  </si>
  <si>
    <t>e) Fond na podporu výstavby a obnovy vodohospodářské infrastruktury na území Olomouckého kraje</t>
  </si>
  <si>
    <t>f) Evropské programy</t>
  </si>
  <si>
    <t>Opravy, investice a projekty</t>
  </si>
  <si>
    <t>b) projekty spolufinancování z evropských fondů</t>
  </si>
  <si>
    <t>5. Financování oprav, investičních akcí a projektů v roce 2017</t>
  </si>
  <si>
    <t>a) Rozpracované opravy a investiční akce hrazené z rozpočtu OK</t>
  </si>
  <si>
    <t>b) Projekty  spolufinancované z evropských fondů</t>
  </si>
  <si>
    <t>Skutečnost k 31.12.2015</t>
  </si>
  <si>
    <t xml:space="preserve">Příspěvkové organizace - celkem </t>
  </si>
  <si>
    <t>Ostatní přijaté transfery a další</t>
  </si>
  <si>
    <t>Převody z rozpočtových účtů</t>
  </si>
  <si>
    <t xml:space="preserve">Odbory - celkem </t>
  </si>
  <si>
    <t>Odbory - účelové dotace</t>
  </si>
  <si>
    <t>Operace z peněžních účtů</t>
  </si>
  <si>
    <t>6=5/4</t>
  </si>
  <si>
    <t xml:space="preserve">a) Příspěvkové organizace - provozní výdaje </t>
  </si>
  <si>
    <t>b) Příspěvkové organizace - účelové dotace</t>
  </si>
  <si>
    <t>9-10</t>
  </si>
  <si>
    <t>11</t>
  </si>
  <si>
    <t>12-15</t>
  </si>
  <si>
    <t>16-19</t>
  </si>
  <si>
    <t>20</t>
  </si>
  <si>
    <t>21-23</t>
  </si>
  <si>
    <t>24-29</t>
  </si>
  <si>
    <t>30-31</t>
  </si>
  <si>
    <t>32</t>
  </si>
  <si>
    <t>33-37</t>
  </si>
  <si>
    <t>38-40</t>
  </si>
  <si>
    <t>41-43</t>
  </si>
  <si>
    <t>44-46</t>
  </si>
  <si>
    <t>49</t>
  </si>
  <si>
    <t>50</t>
  </si>
  <si>
    <t>51-53</t>
  </si>
  <si>
    <t>54</t>
  </si>
  <si>
    <t>55</t>
  </si>
  <si>
    <t>56-57</t>
  </si>
  <si>
    <t>59</t>
  </si>
  <si>
    <t>60</t>
  </si>
  <si>
    <t>63-64</t>
  </si>
  <si>
    <t>67</t>
  </si>
  <si>
    <t>68</t>
  </si>
  <si>
    <t>69-70</t>
  </si>
  <si>
    <t>Rezerva pro příspěvkové organizace</t>
  </si>
  <si>
    <t>89</t>
  </si>
  <si>
    <t>90</t>
  </si>
  <si>
    <t>91-98</t>
  </si>
  <si>
    <t xml:space="preserve">4. Financování </t>
  </si>
  <si>
    <t>a) zapojení zůstatků na bankovních účtech z minulého období</t>
  </si>
  <si>
    <t>b) splátky úvěrů</t>
  </si>
  <si>
    <t>101</t>
  </si>
  <si>
    <t>102-113</t>
  </si>
  <si>
    <t>114-131</t>
  </si>
  <si>
    <t>132</t>
  </si>
  <si>
    <t xml:space="preserve">6. Závazné ukazatele příspěvkových organizací </t>
  </si>
  <si>
    <t>a) Příspěvkové organizace v oblasti školství</t>
  </si>
  <si>
    <t>133</t>
  </si>
  <si>
    <t>b) Příspěvkové organizace v oblasti sociálních věcí</t>
  </si>
  <si>
    <t>134</t>
  </si>
  <si>
    <t>c) Příspěvkové organizace v oblasti dopravy</t>
  </si>
  <si>
    <t>135</t>
  </si>
  <si>
    <t>d) Příspěvkové organizace v oblasti kultury</t>
  </si>
  <si>
    <t>136</t>
  </si>
  <si>
    <t>e) Příspěvkové organizace v oblasti zdravotnictví</t>
  </si>
  <si>
    <t>137</t>
  </si>
  <si>
    <t>71</t>
  </si>
  <si>
    <t>72-79</t>
  </si>
  <si>
    <t>80-82</t>
  </si>
  <si>
    <t>83-84</t>
  </si>
  <si>
    <t>85-86</t>
  </si>
  <si>
    <t>87-88</t>
  </si>
  <si>
    <t>c) Rezerva na opravy, investiční akce a kofinancování projektů spolufinancovaných z evropských fondů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</si>
</sst>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0"/>
    <numFmt numFmtId="167" formatCode="0\-00"/>
    <numFmt numFmtId="168" formatCode="\+#,##0"/>
  </numFmts>
  <fonts count="26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164" fontId="6" fillId="0" borderId="13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/>
    <xf numFmtId="3" fontId="6" fillId="0" borderId="17" xfId="0" applyNumberFormat="1" applyFont="1" applyFill="1" applyBorder="1" applyAlignment="1"/>
    <xf numFmtId="0" fontId="6" fillId="0" borderId="15" xfId="0" applyFont="1" applyFill="1" applyBorder="1" applyAlignment="1">
      <alignment vertical="center" wrapText="1"/>
    </xf>
    <xf numFmtId="3" fontId="6" fillId="0" borderId="1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6" fillId="0" borderId="22" xfId="0" applyFont="1" applyFill="1" applyBorder="1" applyAlignment="1">
      <alignment horizontal="center"/>
    </xf>
    <xf numFmtId="0" fontId="2" fillId="0" borderId="23" xfId="0" applyFont="1" applyFill="1" applyBorder="1"/>
    <xf numFmtId="3" fontId="2" fillId="0" borderId="24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27" xfId="0" applyNumberFormat="1" applyFont="1" applyFill="1" applyBorder="1"/>
    <xf numFmtId="3" fontId="0" fillId="0" borderId="0" xfId="0" applyNumberFormat="1" applyFill="1"/>
    <xf numFmtId="0" fontId="0" fillId="0" borderId="7" xfId="0" applyFill="1" applyBorder="1" applyAlignment="1"/>
    <xf numFmtId="0" fontId="10" fillId="0" borderId="0" xfId="0" applyFont="1" applyFill="1"/>
    <xf numFmtId="0" fontId="6" fillId="0" borderId="12" xfId="0" applyFont="1" applyFill="1" applyBorder="1"/>
    <xf numFmtId="3" fontId="6" fillId="2" borderId="17" xfId="0" applyNumberFormat="1" applyFont="1" applyFill="1" applyBorder="1"/>
    <xf numFmtId="3" fontId="6" fillId="0" borderId="17" xfId="0" applyNumberFormat="1" applyFont="1" applyFill="1" applyBorder="1"/>
    <xf numFmtId="3" fontId="6" fillId="2" borderId="17" xfId="0" applyNumberFormat="1" applyFont="1" applyFill="1" applyBorder="1" applyAlignment="1">
      <alignment vertical="center"/>
    </xf>
    <xf numFmtId="0" fontId="6" fillId="0" borderId="15" xfId="0" applyFont="1" applyFill="1" applyBorder="1" applyAlignment="1"/>
    <xf numFmtId="0" fontId="8" fillId="0" borderId="23" xfId="0" applyFont="1" applyFill="1" applyBorder="1"/>
    <xf numFmtId="3" fontId="2" fillId="2" borderId="24" xfId="0" applyNumberFormat="1" applyFont="1" applyFill="1" applyBorder="1"/>
    <xf numFmtId="164" fontId="2" fillId="0" borderId="25" xfId="0" applyNumberFormat="1" applyFont="1" applyFill="1" applyBorder="1" applyAlignment="1">
      <alignment shrinkToFit="1"/>
    </xf>
    <xf numFmtId="0" fontId="6" fillId="0" borderId="32" xfId="0" applyFont="1" applyFill="1" applyBorder="1"/>
    <xf numFmtId="3" fontId="6" fillId="2" borderId="26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/>
    </xf>
    <xf numFmtId="164" fontId="6" fillId="0" borderId="35" xfId="0" applyNumberFormat="1" applyFont="1" applyFill="1" applyBorder="1"/>
    <xf numFmtId="164" fontId="2" fillId="0" borderId="36" xfId="0" applyNumberFormat="1" applyFont="1" applyFill="1" applyBorder="1" applyAlignment="1">
      <alignment shrinkToFit="1"/>
    </xf>
    <xf numFmtId="3" fontId="6" fillId="0" borderId="10" xfId="0" applyNumberFormat="1" applyFont="1" applyFill="1" applyBorder="1"/>
    <xf numFmtId="0" fontId="6" fillId="0" borderId="23" xfId="0" applyFont="1" applyFill="1" applyBorder="1"/>
    <xf numFmtId="3" fontId="6" fillId="0" borderId="24" xfId="0" applyNumberFormat="1" applyFont="1" applyFill="1" applyBorder="1" applyAlignment="1"/>
    <xf numFmtId="164" fontId="6" fillId="0" borderId="24" xfId="0" applyNumberFormat="1" applyFont="1" applyFill="1" applyBorder="1"/>
    <xf numFmtId="164" fontId="6" fillId="0" borderId="36" xfId="0" applyNumberFormat="1" applyFont="1" applyFill="1" applyBorder="1"/>
    <xf numFmtId="0" fontId="8" fillId="3" borderId="37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38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31" xfId="0" applyNumberFormat="1" applyFont="1" applyFill="1" applyBorder="1"/>
    <xf numFmtId="0" fontId="13" fillId="0" borderId="20" xfId="0" applyFont="1" applyFill="1" applyBorder="1"/>
    <xf numFmtId="0" fontId="13" fillId="0" borderId="31" xfId="0" applyFont="1" applyFill="1" applyBorder="1" applyAlignment="1">
      <alignment wrapText="1"/>
    </xf>
    <xf numFmtId="0" fontId="14" fillId="3" borderId="33" xfId="0" applyFont="1" applyFill="1" applyBorder="1"/>
    <xf numFmtId="3" fontId="14" fillId="3" borderId="33" xfId="0" applyNumberFormat="1" applyFont="1" applyFill="1" applyBorder="1"/>
    <xf numFmtId="0" fontId="14" fillId="3" borderId="0" xfId="0" applyFont="1" applyFill="1"/>
    <xf numFmtId="165" fontId="13" fillId="0" borderId="40" xfId="0" applyNumberFormat="1" applyFont="1" applyFill="1" applyBorder="1"/>
    <xf numFmtId="165" fontId="13" fillId="0" borderId="21" xfId="0" applyNumberFormat="1" applyFont="1" applyFill="1" applyBorder="1"/>
    <xf numFmtId="165" fontId="14" fillId="3" borderId="30" xfId="0" applyNumberFormat="1" applyFont="1" applyFill="1" applyBorder="1"/>
    <xf numFmtId="0" fontId="8" fillId="3" borderId="29" xfId="0" applyFont="1" applyFill="1" applyBorder="1" applyAlignment="1">
      <alignment wrapText="1"/>
    </xf>
    <xf numFmtId="3" fontId="2" fillId="3" borderId="33" xfId="0" applyNumberFormat="1" applyFont="1" applyFill="1" applyBorder="1"/>
    <xf numFmtId="164" fontId="2" fillId="3" borderId="30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5" fillId="0" borderId="0" xfId="0" applyNumberFormat="1" applyFont="1" applyFill="1"/>
    <xf numFmtId="0" fontId="8" fillId="3" borderId="2" xfId="0" applyFont="1" applyFill="1" applyBorder="1" applyAlignment="1">
      <alignment vertical="center"/>
    </xf>
    <xf numFmtId="3" fontId="0" fillId="0" borderId="0" xfId="0" applyNumberFormat="1" applyFill="1" applyAlignment="1"/>
    <xf numFmtId="0" fontId="5" fillId="3" borderId="37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vertical="center"/>
    </xf>
    <xf numFmtId="3" fontId="7" fillId="0" borderId="0" xfId="0" applyNumberFormat="1" applyFont="1" applyFill="1"/>
    <xf numFmtId="3" fontId="6" fillId="0" borderId="0" xfId="0" applyNumberFormat="1" applyFont="1" applyFill="1"/>
    <xf numFmtId="3" fontId="13" fillId="0" borderId="0" xfId="0" applyNumberFormat="1" applyFont="1" applyFill="1"/>
    <xf numFmtId="3" fontId="14" fillId="3" borderId="0" xfId="0" applyNumberFormat="1" applyFont="1" applyFill="1"/>
    <xf numFmtId="3" fontId="10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left"/>
    </xf>
    <xf numFmtId="164" fontId="18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Alignment="1"/>
    <xf numFmtId="3" fontId="6" fillId="2" borderId="31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/>
    <xf numFmtId="3" fontId="13" fillId="2" borderId="20" xfId="0" applyNumberFormat="1" applyFont="1" applyFill="1" applyBorder="1"/>
    <xf numFmtId="0" fontId="18" fillId="0" borderId="17" xfId="0" applyFont="1" applyFill="1" applyBorder="1" applyAlignment="1"/>
    <xf numFmtId="3" fontId="18" fillId="2" borderId="17" xfId="0" applyNumberFormat="1" applyFont="1" applyFill="1" applyBorder="1" applyAlignment="1">
      <alignment horizontal="right"/>
    </xf>
    <xf numFmtId="3" fontId="18" fillId="2" borderId="17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9" fillId="3" borderId="33" xfId="0" applyNumberFormat="1" applyFont="1" applyFill="1" applyBorder="1"/>
    <xf numFmtId="3" fontId="6" fillId="2" borderId="10" xfId="0" applyNumberFormat="1" applyFont="1" applyFill="1" applyBorder="1"/>
    <xf numFmtId="3" fontId="6" fillId="0" borderId="24" xfId="0" applyNumberFormat="1" applyFont="1" applyFill="1" applyBorder="1"/>
    <xf numFmtId="3" fontId="18" fillId="2" borderId="14" xfId="0" applyNumberFormat="1" applyFont="1" applyFill="1" applyBorder="1" applyAlignment="1">
      <alignment horizontal="left"/>
    </xf>
    <xf numFmtId="0" fontId="0" fillId="0" borderId="0" xfId="0" applyFill="1" applyAlignment="1"/>
    <xf numFmtId="0" fontId="13" fillId="0" borderId="42" xfId="0" applyFont="1" applyFill="1" applyBorder="1" applyAlignment="1">
      <alignment horizontal="center"/>
    </xf>
    <xf numFmtId="0" fontId="13" fillId="0" borderId="41" xfId="0" applyFont="1" applyFill="1" applyBorder="1" applyAlignment="1">
      <alignment wrapText="1"/>
    </xf>
    <xf numFmtId="3" fontId="13" fillId="0" borderId="41" xfId="0" applyNumberFormat="1" applyFont="1" applyFill="1" applyBorder="1"/>
    <xf numFmtId="3" fontId="6" fillId="0" borderId="32" xfId="0" applyNumberFormat="1" applyFont="1" applyFill="1" applyBorder="1"/>
    <xf numFmtId="0" fontId="18" fillId="0" borderId="43" xfId="0" applyFont="1" applyFill="1" applyBorder="1" applyAlignment="1"/>
    <xf numFmtId="3" fontId="18" fillId="2" borderId="43" xfId="0" applyNumberFormat="1" applyFont="1" applyFill="1" applyBorder="1" applyAlignment="1">
      <alignment horizontal="left" vertical="center"/>
    </xf>
    <xf numFmtId="3" fontId="18" fillId="2" borderId="43" xfId="0" applyNumberFormat="1" applyFont="1" applyFill="1" applyBorder="1" applyAlignment="1">
      <alignment horizontal="right"/>
    </xf>
    <xf numFmtId="0" fontId="20" fillId="0" borderId="0" xfId="0" applyFont="1" applyFill="1"/>
    <xf numFmtId="3" fontId="20" fillId="0" borderId="0" xfId="0" applyNumberFormat="1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0" fontId="19" fillId="0" borderId="0" xfId="0" applyFont="1" applyFill="1"/>
    <xf numFmtId="0" fontId="19" fillId="0" borderId="0" xfId="0" applyFont="1" applyFill="1" applyBorder="1"/>
    <xf numFmtId="3" fontId="19" fillId="0" borderId="0" xfId="0" applyNumberFormat="1" applyFont="1" applyFill="1" applyBorder="1"/>
    <xf numFmtId="0" fontId="10" fillId="2" borderId="0" xfId="0" applyFont="1" applyFill="1" applyAlignment="1">
      <alignment horizontal="right"/>
    </xf>
    <xf numFmtId="49" fontId="10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167" fontId="10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10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8" fontId="0" fillId="0" borderId="0" xfId="0" applyNumberFormat="1" applyFill="1"/>
    <xf numFmtId="168" fontId="0" fillId="0" borderId="0" xfId="0" applyNumberFormat="1" applyFill="1" applyAlignment="1">
      <alignment vertical="center"/>
    </xf>
    <xf numFmtId="168" fontId="0" fillId="0" borderId="0" xfId="0" applyNumberFormat="1" applyFill="1" applyAlignment="1"/>
    <xf numFmtId="168" fontId="6" fillId="0" borderId="0" xfId="0" applyNumberFormat="1" applyFont="1" applyFill="1"/>
    <xf numFmtId="168" fontId="13" fillId="0" borderId="0" xfId="0" applyNumberFormat="1" applyFont="1" applyFill="1"/>
    <xf numFmtId="168" fontId="14" fillId="3" borderId="0" xfId="0" applyNumberFormat="1" applyFont="1" applyFill="1"/>
    <xf numFmtId="168" fontId="19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49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0" fillId="2" borderId="0" xfId="0" applyFont="1" applyFill="1"/>
    <xf numFmtId="164" fontId="6" fillId="0" borderId="35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17" xfId="0" applyFont="1" applyFill="1" applyBorder="1"/>
    <xf numFmtId="0" fontId="18" fillId="0" borderId="17" xfId="0" applyFont="1" applyFill="1" applyBorder="1"/>
    <xf numFmtId="0" fontId="18" fillId="0" borderId="41" xfId="0" applyFont="1" applyFill="1" applyBorder="1"/>
    <xf numFmtId="3" fontId="6" fillId="2" borderId="15" xfId="0" applyNumberFormat="1" applyFont="1" applyFill="1" applyBorder="1" applyAlignment="1">
      <alignment horizontal="right"/>
    </xf>
    <xf numFmtId="3" fontId="23" fillId="0" borderId="41" xfId="0" applyNumberFormat="1" applyFont="1" applyFill="1" applyBorder="1" applyAlignment="1">
      <alignment horizontal="left"/>
    </xf>
    <xf numFmtId="164" fontId="6" fillId="0" borderId="46" xfId="0" applyNumberFormat="1" applyFont="1" applyFill="1" applyBorder="1"/>
    <xf numFmtId="0" fontId="6" fillId="0" borderId="17" xfId="0" applyFont="1" applyFill="1" applyBorder="1" applyAlignment="1">
      <alignment wrapText="1"/>
    </xf>
    <xf numFmtId="0" fontId="24" fillId="3" borderId="47" xfId="0" applyFont="1" applyFill="1" applyBorder="1" applyAlignment="1">
      <alignment horizontal="center"/>
    </xf>
    <xf numFmtId="0" fontId="24" fillId="3" borderId="47" xfId="0" applyFont="1" applyFill="1" applyBorder="1"/>
    <xf numFmtId="0" fontId="25" fillId="3" borderId="47" xfId="0" applyFont="1" applyFill="1" applyBorder="1"/>
    <xf numFmtId="0" fontId="25" fillId="3" borderId="0" xfId="0" applyFont="1" applyFill="1"/>
    <xf numFmtId="3" fontId="24" fillId="3" borderId="0" xfId="0" applyNumberFormat="1" applyFont="1" applyFill="1"/>
    <xf numFmtId="0" fontId="24" fillId="3" borderId="0" xfId="0" applyFont="1" applyFill="1"/>
    <xf numFmtId="0" fontId="0" fillId="0" borderId="48" xfId="0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center"/>
    </xf>
    <xf numFmtId="168" fontId="22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0" fontId="14" fillId="3" borderId="47" xfId="0" applyFont="1" applyFill="1" applyBorder="1"/>
    <xf numFmtId="0" fontId="2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3" fontId="24" fillId="2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6" fillId="0" borderId="15" xfId="0" applyFont="1" applyFill="1" applyBorder="1" applyAlignment="1">
      <alignment wrapText="1"/>
    </xf>
    <xf numFmtId="165" fontId="13" fillId="0" borderId="13" xfId="0" applyNumberFormat="1" applyFont="1" applyFill="1" applyBorder="1"/>
    <xf numFmtId="164" fontId="6" fillId="2" borderId="17" xfId="0" applyNumberFormat="1" applyFont="1" applyFill="1" applyBorder="1"/>
    <xf numFmtId="0" fontId="0" fillId="0" borderId="0" xfId="0" applyFill="1" applyAlignment="1"/>
    <xf numFmtId="0" fontId="1" fillId="0" borderId="0" xfId="0" applyFont="1" applyFill="1" applyAlignment="1"/>
    <xf numFmtId="164" fontId="6" fillId="0" borderId="13" xfId="0" applyNumberFormat="1" applyFont="1" applyFill="1" applyBorder="1" applyAlignment="1">
      <alignment horizontal="left"/>
    </xf>
    <xf numFmtId="3" fontId="6" fillId="2" borderId="10" xfId="0" applyNumberFormat="1" applyFont="1" applyFill="1" applyBorder="1" applyAlignment="1">
      <alignment horizontal="left"/>
    </xf>
    <xf numFmtId="3" fontId="6" fillId="2" borderId="11" xfId="0" applyNumberFormat="1" applyFont="1" applyFill="1" applyBorder="1" applyAlignment="1">
      <alignment horizontal="left"/>
    </xf>
    <xf numFmtId="165" fontId="13" fillId="0" borderId="27" xfId="0" applyNumberFormat="1" applyFont="1" applyFill="1" applyBorder="1"/>
    <xf numFmtId="0" fontId="4" fillId="2" borderId="7" xfId="0" applyFont="1" applyFill="1" applyBorder="1"/>
    <xf numFmtId="0" fontId="20" fillId="2" borderId="7" xfId="0" applyFont="1" applyFill="1" applyBorder="1" applyAlignment="1">
      <alignment horizontal="right"/>
    </xf>
    <xf numFmtId="0" fontId="16" fillId="2" borderId="0" xfId="0" applyFont="1" applyFill="1"/>
    <xf numFmtId="0" fontId="8" fillId="2" borderId="0" xfId="0" applyFont="1" applyFill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6" fontId="10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/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6" fillId="2" borderId="0" xfId="0" applyFont="1" applyFill="1"/>
    <xf numFmtId="0" fontId="17" fillId="2" borderId="0" xfId="0" applyFont="1" applyFill="1"/>
    <xf numFmtId="0" fontId="16" fillId="2" borderId="0" xfId="0" applyFont="1" applyFill="1" applyAlignment="1">
      <alignment horizontal="left" vertical="center" wrapText="1"/>
    </xf>
    <xf numFmtId="0" fontId="8" fillId="2" borderId="0" xfId="0" applyFont="1" applyFill="1" applyBorder="1"/>
    <xf numFmtId="49" fontId="20" fillId="2" borderId="0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 vertical="center"/>
    </xf>
    <xf numFmtId="3" fontId="6" fillId="2" borderId="19" xfId="0" applyNumberFormat="1" applyFont="1" applyFill="1" applyBorder="1"/>
    <xf numFmtId="3" fontId="18" fillId="0" borderId="0" xfId="0" applyNumberFormat="1" applyFont="1" applyFill="1" applyBorder="1" applyAlignment="1">
      <alignment horizontal="left"/>
    </xf>
    <xf numFmtId="3" fontId="2" fillId="3" borderId="47" xfId="0" applyNumberFormat="1" applyFont="1" applyFill="1" applyBorder="1"/>
    <xf numFmtId="3" fontId="2" fillId="2" borderId="0" xfId="0" applyNumberFormat="1" applyFont="1" applyFill="1" applyBorder="1"/>
    <xf numFmtId="0" fontId="20" fillId="0" borderId="0" xfId="0" applyFont="1" applyFill="1" applyBorder="1"/>
    <xf numFmtId="0" fontId="8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20" fillId="2" borderId="0" xfId="0" applyFont="1" applyFill="1" applyAlignment="1"/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Rozpo&#269;et%20Olomouck&#233;ho%20kraje/2017/rozpo&#269;et%202017%20-%20upraven&#225;%20verze%20&#8211;%20ROK%20listopad/x.%20-%20Rozpo&#269;et%20OK%202017%20-%2002)%20P&#345;&#237;j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&#269;et%202014\ZOK%2019.12.2013\Rozpo&#269;et%20OK%202014%20-%202)%20P&#345;&#237;jmy%20-%20I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Rozpo&#269;et%20Olomouck&#233;ho%20kraje/2017/rozpo&#269;et%202017%20-%20upraven&#225;%20verze%20&#8211;%20ROK%20listopad/9.3.%20-%20Rozpo&#269;et%20OK%202017%20-%2002)%20P&#345;&#237;jm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Rozpo&#269;et%20Olomouck&#233;ho%20kraje/2017/rozpo&#269;et%202017%20-%20upraven&#225;%20verze%20&#8211;%20ROK%20listopad/x.%20-%20Rozpo&#269;et%20OK%202017%20-%2003a)%20v&#253;daje%20odbor&#36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Rozpo&#269;et%20Olomouck&#233;ho%20kraje/2017/rozpo&#269;et%202017%20-%20upraven&#225;%20verze%20&#8211;%20ROK%20listopad/x.%20-%20Rozpo&#269;et%20OK%202017%20-%2003b)%20dota&#269;n&#237;%20titul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Rozpo&#269;et%20Olomouck&#233;ho%20kraje/2017/rozpo&#269;et%202017%20-%20upraven&#225;%20verze%20&#8211;%20ROK%20listopad/x.%20-%20Rozpo&#269;et%20OK%202017%20-%2003c)%20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1.%20-%20Rozpo&#269;et%20OK%202017%20-%2003c)%20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1.%20-%20Rozpo&#269;et%20OK%202017%20-%2003d)%20soci&#225;ln&#237;%20fon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Rozpo&#269;et%20Olomouck&#233;ho%20kraje/2017/rozpo&#269;et%202017%20-%20upraven&#225;%20verze%20&#8211;%20ROK%20listopad/x.%20-%20Rozpo&#269;et%20OK%202017%20-%2004)%20spl&#225;tky%20&#250;v&#283;r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pisy"/>
      <sheetName val="predikce"/>
    </sheetNames>
    <sheetDataSet>
      <sheetData sheetId="0" refreshError="1">
        <row r="12">
          <cell r="D12">
            <v>3828000</v>
          </cell>
          <cell r="F12">
            <v>4100000</v>
          </cell>
        </row>
        <row r="13">
          <cell r="D13">
            <v>980</v>
          </cell>
        </row>
        <row r="14">
          <cell r="D14">
            <v>1000</v>
          </cell>
        </row>
        <row r="16">
          <cell r="D16">
            <v>158757</v>
          </cell>
          <cell r="F16">
            <v>170165</v>
          </cell>
        </row>
        <row r="17">
          <cell r="D17">
            <v>25</v>
          </cell>
        </row>
        <row r="18">
          <cell r="D18">
            <v>223</v>
          </cell>
        </row>
        <row r="19">
          <cell r="D19">
            <v>37881</v>
          </cell>
        </row>
        <row r="20">
          <cell r="D20">
            <v>102.2</v>
          </cell>
        </row>
        <row r="21">
          <cell r="D21">
            <v>350</v>
          </cell>
        </row>
        <row r="22">
          <cell r="D22">
            <v>2030</v>
          </cell>
        </row>
        <row r="23">
          <cell r="D23">
            <v>37742</v>
          </cell>
        </row>
        <row r="24">
          <cell r="D24">
            <v>753</v>
          </cell>
        </row>
        <row r="26">
          <cell r="D26">
            <v>9218</v>
          </cell>
        </row>
        <row r="27">
          <cell r="D27">
            <v>7400</v>
          </cell>
          <cell r="F27">
            <v>500</v>
          </cell>
        </row>
        <row r="28">
          <cell r="D28">
            <v>28000</v>
          </cell>
          <cell r="F28">
            <v>12700</v>
          </cell>
        </row>
        <row r="29">
          <cell r="D29">
            <v>19500</v>
          </cell>
          <cell r="F29">
            <v>0</v>
          </cell>
        </row>
        <row r="30">
          <cell r="D30">
            <v>1800.8</v>
          </cell>
          <cell r="F30">
            <v>1000.4</v>
          </cell>
        </row>
        <row r="31">
          <cell r="D31">
            <v>76028</v>
          </cell>
          <cell r="F31">
            <v>81145.399999999994</v>
          </cell>
        </row>
      </sheetData>
      <sheetData sheetId="1" refreshError="1"/>
      <sheetData sheetId="2" refreshError="1">
        <row r="25">
          <cell r="D25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 refreshError="1">
        <row r="14">
          <cell r="G14">
            <v>3195000</v>
          </cell>
        </row>
        <row r="17">
          <cell r="G17">
            <v>141823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pisy"/>
      <sheetName val="predikce"/>
    </sheetNames>
    <sheetDataSet>
      <sheetData sheetId="0">
        <row r="32">
          <cell r="F32">
            <v>6291</v>
          </cell>
        </row>
        <row r="33">
          <cell r="F33">
            <v>50000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7"/>
      <sheetName val="08"/>
      <sheetName val="09"/>
      <sheetName val="10"/>
      <sheetName val="11"/>
      <sheetName val="12"/>
      <sheetName val="14"/>
      <sheetName val="16"/>
      <sheetName val="17"/>
      <sheetName val="18"/>
      <sheetName val="19"/>
      <sheetName val="20"/>
    </sheetNames>
    <sheetDataSet>
      <sheetData sheetId="0" refreshError="1">
        <row r="22">
          <cell r="D22">
            <v>649860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3"/>
      <sheetName val="07"/>
      <sheetName val="08"/>
      <sheetName val="09"/>
      <sheetName val="10"/>
      <sheetName val="11"/>
      <sheetName val="12"/>
      <sheetName val="14"/>
      <sheetName val="18"/>
    </sheetNames>
    <sheetDataSet>
      <sheetData sheetId="0" refreshError="1">
        <row r="91">
          <cell r="E91">
            <v>318143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sumář x limit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 refreshError="1">
        <row r="59">
          <cell r="D59">
            <v>954701</v>
          </cell>
        </row>
        <row r="60">
          <cell r="D60">
            <v>211135</v>
          </cell>
        </row>
        <row r="61">
          <cell r="D61">
            <v>296153</v>
          </cell>
        </row>
        <row r="62">
          <cell r="D62">
            <v>10503</v>
          </cell>
        </row>
        <row r="63">
          <cell r="D63">
            <v>9849</v>
          </cell>
        </row>
        <row r="64">
          <cell r="D64">
            <v>200</v>
          </cell>
        </row>
        <row r="65">
          <cell r="D65">
            <v>10000</v>
          </cell>
        </row>
        <row r="66">
          <cell r="D66">
            <v>902830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sumář x limit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>
        <row r="60">
          <cell r="G60">
            <v>962615</v>
          </cell>
        </row>
        <row r="61">
          <cell r="G61">
            <v>215434</v>
          </cell>
        </row>
        <row r="62">
          <cell r="G62">
            <v>323749</v>
          </cell>
        </row>
        <row r="63">
          <cell r="G63">
            <v>5890</v>
          </cell>
        </row>
        <row r="64">
          <cell r="G64">
            <v>1731</v>
          </cell>
        </row>
        <row r="65">
          <cell r="G65">
            <v>200</v>
          </cell>
        </row>
        <row r="66">
          <cell r="G66">
            <v>50000</v>
          </cell>
        </row>
        <row r="67">
          <cell r="G67">
            <v>937312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8242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átky úvěrů"/>
    </sheetNames>
    <sheetDataSet>
      <sheetData sheetId="0">
        <row r="15">
          <cell r="F15">
            <v>253159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topLeftCell="A52" zoomScaleNormal="100" zoomScaleSheetLayoutView="100" workbookViewId="0">
      <selection activeCell="N68" sqref="N68"/>
    </sheetView>
  </sheetViews>
  <sheetFormatPr defaultRowHeight="15" x14ac:dyDescent="0.25"/>
  <cols>
    <col min="1" max="7" width="9.140625" style="140"/>
    <col min="8" max="9" width="9.140625" style="139"/>
    <col min="10" max="16384" width="9.140625" style="140"/>
  </cols>
  <sheetData>
    <row r="1" spans="1:10" ht="15" customHeight="1" thickBot="1" x14ac:dyDescent="0.3">
      <c r="A1" s="182"/>
      <c r="B1" s="182"/>
      <c r="C1" s="182"/>
      <c r="D1" s="182"/>
      <c r="E1" s="182"/>
      <c r="F1" s="182"/>
      <c r="G1" s="182"/>
      <c r="H1" s="183"/>
      <c r="I1" s="127" t="s">
        <v>25</v>
      </c>
    </row>
    <row r="2" spans="1:10" ht="15.75" thickTop="1" x14ac:dyDescent="0.25"/>
    <row r="3" spans="1:10" x14ac:dyDescent="0.25">
      <c r="A3" s="210" t="s">
        <v>73</v>
      </c>
      <c r="B3" s="210"/>
      <c r="C3" s="210"/>
      <c r="D3" s="210"/>
      <c r="E3" s="210"/>
      <c r="F3" s="210"/>
      <c r="G3" s="210"/>
      <c r="H3" s="210"/>
      <c r="I3" s="122" t="s">
        <v>77</v>
      </c>
    </row>
    <row r="4" spans="1:10" x14ac:dyDescent="0.25">
      <c r="A4" s="197"/>
      <c r="B4" s="197"/>
      <c r="C4" s="197"/>
      <c r="D4" s="197"/>
      <c r="E4" s="197"/>
      <c r="F4" s="197"/>
      <c r="G4" s="197"/>
      <c r="H4" s="197"/>
      <c r="I4" s="122"/>
    </row>
    <row r="5" spans="1:10" x14ac:dyDescent="0.25">
      <c r="A5" s="184" t="s">
        <v>74</v>
      </c>
      <c r="I5" s="138"/>
    </row>
    <row r="6" spans="1:10" ht="4.5" customHeight="1" x14ac:dyDescent="0.25">
      <c r="I6" s="138"/>
    </row>
    <row r="7" spans="1:10" ht="20.100000000000001" customHeight="1" x14ac:dyDescent="0.25">
      <c r="A7" s="140" t="s">
        <v>75</v>
      </c>
      <c r="I7" s="122" t="s">
        <v>112</v>
      </c>
    </row>
    <row r="8" spans="1:10" ht="20.100000000000001" customHeight="1" x14ac:dyDescent="0.25">
      <c r="A8" s="211" t="s">
        <v>76</v>
      </c>
      <c r="B8" s="211"/>
      <c r="C8" s="211"/>
      <c r="D8" s="211"/>
      <c r="E8" s="211"/>
      <c r="F8" s="211"/>
      <c r="G8" s="211"/>
      <c r="H8" s="211"/>
      <c r="I8" s="122" t="s">
        <v>113</v>
      </c>
    </row>
    <row r="9" spans="1:10" ht="20.100000000000001" customHeight="1" x14ac:dyDescent="0.25">
      <c r="A9" s="140" t="s">
        <v>78</v>
      </c>
      <c r="I9" s="122" t="s">
        <v>114</v>
      </c>
    </row>
    <row r="10" spans="1:10" ht="20.100000000000001" customHeight="1" x14ac:dyDescent="0.25">
      <c r="A10" s="140" t="s">
        <v>79</v>
      </c>
      <c r="I10" s="122" t="s">
        <v>115</v>
      </c>
    </row>
    <row r="11" spans="1:10" ht="30" customHeight="1" x14ac:dyDescent="0.25">
      <c r="A11" s="184" t="s">
        <v>80</v>
      </c>
      <c r="I11" s="138"/>
    </row>
    <row r="12" spans="1:10" ht="6" customHeight="1" x14ac:dyDescent="0.25">
      <c r="I12" s="138"/>
    </row>
    <row r="13" spans="1:10" x14ac:dyDescent="0.25">
      <c r="A13" s="185" t="s">
        <v>87</v>
      </c>
      <c r="H13" s="139" t="s">
        <v>26</v>
      </c>
      <c r="I13" s="138"/>
    </row>
    <row r="14" spans="1:10" ht="20.100000000000001" customHeight="1" x14ac:dyDescent="0.25">
      <c r="A14" s="186" t="s">
        <v>27</v>
      </c>
      <c r="B14" s="187"/>
      <c r="C14" s="125"/>
      <c r="D14" s="125"/>
      <c r="E14" s="125"/>
      <c r="F14" s="125"/>
      <c r="G14" s="125"/>
      <c r="H14" s="120"/>
      <c r="I14" s="121" t="s">
        <v>116</v>
      </c>
      <c r="J14" s="125"/>
    </row>
    <row r="15" spans="1:10" ht="20.100000000000001" customHeight="1" x14ac:dyDescent="0.25">
      <c r="A15" s="188" t="s">
        <v>28</v>
      </c>
      <c r="B15" s="125"/>
      <c r="C15" s="125"/>
      <c r="D15" s="125"/>
      <c r="E15" s="125"/>
      <c r="F15" s="125"/>
      <c r="G15" s="189">
        <v>1</v>
      </c>
      <c r="H15" s="120"/>
      <c r="I15" s="122" t="s">
        <v>117</v>
      </c>
      <c r="J15" s="125"/>
    </row>
    <row r="16" spans="1:10" ht="20.100000000000001" customHeight="1" x14ac:dyDescent="0.25">
      <c r="A16" s="188" t="s">
        <v>56</v>
      </c>
      <c r="B16" s="125"/>
      <c r="C16" s="125"/>
      <c r="D16" s="125"/>
      <c r="E16" s="125"/>
      <c r="F16" s="125"/>
      <c r="G16" s="189">
        <v>3</v>
      </c>
      <c r="H16" s="120"/>
      <c r="I16" s="122" t="s">
        <v>118</v>
      </c>
      <c r="J16" s="125"/>
    </row>
    <row r="17" spans="1:10" ht="20.100000000000001" customHeight="1" x14ac:dyDescent="0.25">
      <c r="A17" s="188" t="s">
        <v>81</v>
      </c>
      <c r="B17" s="125"/>
      <c r="C17" s="125"/>
      <c r="D17" s="125"/>
      <c r="E17" s="125"/>
      <c r="F17" s="125"/>
      <c r="G17" s="189">
        <v>4</v>
      </c>
      <c r="H17" s="120"/>
      <c r="I17" s="121" t="s">
        <v>119</v>
      </c>
      <c r="J17" s="125"/>
    </row>
    <row r="18" spans="1:10" ht="20.100000000000001" customHeight="1" x14ac:dyDescent="0.25">
      <c r="A18" s="188" t="s">
        <v>29</v>
      </c>
      <c r="B18" s="125"/>
      <c r="C18" s="125"/>
      <c r="D18" s="125"/>
      <c r="E18" s="125"/>
      <c r="F18" s="125"/>
      <c r="G18" s="189">
        <v>7</v>
      </c>
      <c r="H18" s="120"/>
      <c r="I18" s="122" t="s">
        <v>120</v>
      </c>
      <c r="J18" s="125"/>
    </row>
    <row r="19" spans="1:10" ht="20.100000000000001" customHeight="1" x14ac:dyDescent="0.25">
      <c r="A19" s="212" t="s">
        <v>82</v>
      </c>
      <c r="B19" s="212"/>
      <c r="C19" s="212"/>
      <c r="D19" s="212"/>
      <c r="E19" s="212"/>
      <c r="F19" s="212"/>
      <c r="G19" s="190">
        <v>8</v>
      </c>
      <c r="H19" s="142"/>
      <c r="I19" s="143" t="s">
        <v>121</v>
      </c>
      <c r="J19" s="125"/>
    </row>
    <row r="20" spans="1:10" ht="20.100000000000001" customHeight="1" x14ac:dyDescent="0.25">
      <c r="A20" s="188" t="s">
        <v>30</v>
      </c>
      <c r="B20" s="125"/>
      <c r="C20" s="125"/>
      <c r="D20" s="125"/>
      <c r="E20" s="125"/>
      <c r="F20" s="125"/>
      <c r="G20" s="189">
        <v>9</v>
      </c>
      <c r="H20" s="120"/>
      <c r="I20" s="122" t="s">
        <v>122</v>
      </c>
      <c r="J20" s="125"/>
    </row>
    <row r="21" spans="1:10" ht="20.100000000000001" customHeight="1" x14ac:dyDescent="0.25">
      <c r="A21" s="188" t="s">
        <v>83</v>
      </c>
      <c r="B21" s="125"/>
      <c r="C21" s="125"/>
      <c r="D21" s="125"/>
      <c r="E21" s="125"/>
      <c r="F21" s="125"/>
      <c r="G21" s="187">
        <v>10</v>
      </c>
      <c r="H21" s="120"/>
      <c r="I21" s="122" t="s">
        <v>123</v>
      </c>
      <c r="J21" s="125"/>
    </row>
    <row r="22" spans="1:10" ht="20.100000000000001" customHeight="1" x14ac:dyDescent="0.25">
      <c r="A22" s="188" t="s">
        <v>31</v>
      </c>
      <c r="B22" s="125"/>
      <c r="C22" s="125"/>
      <c r="D22" s="125"/>
      <c r="E22" s="125"/>
      <c r="F22" s="125"/>
      <c r="G22" s="187">
        <v>11</v>
      </c>
      <c r="H22" s="120"/>
      <c r="I22" s="122" t="s">
        <v>124</v>
      </c>
      <c r="J22" s="125"/>
    </row>
    <row r="23" spans="1:10" ht="20.100000000000001" customHeight="1" x14ac:dyDescent="0.25">
      <c r="A23" s="188" t="s">
        <v>32</v>
      </c>
      <c r="B23" s="125"/>
      <c r="C23" s="125"/>
      <c r="D23" s="125"/>
      <c r="E23" s="125"/>
      <c r="F23" s="125"/>
      <c r="G23" s="187">
        <v>12</v>
      </c>
      <c r="H23" s="120"/>
      <c r="I23" s="122" t="s">
        <v>84</v>
      </c>
      <c r="J23" s="125"/>
    </row>
    <row r="24" spans="1:10" ht="20.100000000000001" customHeight="1" x14ac:dyDescent="0.25">
      <c r="A24" s="188" t="s">
        <v>33</v>
      </c>
      <c r="B24" s="125"/>
      <c r="C24" s="125"/>
      <c r="D24" s="125"/>
      <c r="E24" s="125"/>
      <c r="F24" s="125"/>
      <c r="G24" s="187">
        <v>14</v>
      </c>
      <c r="H24" s="120"/>
      <c r="I24" s="122" t="s">
        <v>85</v>
      </c>
      <c r="J24" s="125"/>
    </row>
    <row r="25" spans="1:10" ht="20.100000000000001" customHeight="1" x14ac:dyDescent="0.25">
      <c r="A25" s="125" t="s">
        <v>34</v>
      </c>
      <c r="B25" s="125"/>
      <c r="C25" s="125"/>
      <c r="D25" s="125"/>
      <c r="E25" s="125"/>
      <c r="F25" s="125"/>
      <c r="G25" s="191">
        <v>16</v>
      </c>
      <c r="H25" s="120"/>
      <c r="I25" s="122" t="s">
        <v>125</v>
      </c>
      <c r="J25" s="125"/>
    </row>
    <row r="26" spans="1:10" ht="20.100000000000001" customHeight="1" x14ac:dyDescent="0.25">
      <c r="A26" s="125" t="s">
        <v>60</v>
      </c>
      <c r="B26" s="125"/>
      <c r="C26" s="125"/>
      <c r="D26" s="125"/>
      <c r="E26" s="125"/>
      <c r="F26" s="125"/>
      <c r="G26" s="191">
        <v>17</v>
      </c>
      <c r="H26" s="120"/>
      <c r="I26" s="122" t="s">
        <v>126</v>
      </c>
      <c r="J26" s="125"/>
    </row>
    <row r="27" spans="1:10" ht="20.100000000000001" customHeight="1" x14ac:dyDescent="0.25">
      <c r="A27" s="125" t="s">
        <v>44</v>
      </c>
      <c r="B27" s="125"/>
      <c r="C27" s="125"/>
      <c r="D27" s="125"/>
      <c r="E27" s="125"/>
      <c r="F27" s="125"/>
      <c r="G27" s="191">
        <v>18</v>
      </c>
      <c r="H27" s="120"/>
      <c r="I27" s="122" t="s">
        <v>127</v>
      </c>
      <c r="J27" s="125"/>
    </row>
    <row r="28" spans="1:10" ht="20.100000000000001" customHeight="1" x14ac:dyDescent="0.25">
      <c r="A28" s="125" t="s">
        <v>57</v>
      </c>
      <c r="B28" s="125"/>
      <c r="C28" s="125"/>
      <c r="D28" s="125"/>
      <c r="E28" s="125"/>
      <c r="F28" s="125"/>
      <c r="G28" s="191">
        <v>19</v>
      </c>
      <c r="H28" s="120"/>
      <c r="I28" s="122" t="s">
        <v>128</v>
      </c>
      <c r="J28" s="125"/>
    </row>
    <row r="29" spans="1:10" ht="20.100000000000001" customHeight="1" x14ac:dyDescent="0.25">
      <c r="A29" s="125" t="s">
        <v>86</v>
      </c>
      <c r="B29" s="125"/>
      <c r="C29" s="125"/>
      <c r="D29" s="125"/>
      <c r="E29" s="125"/>
      <c r="F29" s="125"/>
      <c r="G29" s="191">
        <v>20</v>
      </c>
      <c r="H29" s="120"/>
      <c r="I29" s="122" t="s">
        <v>129</v>
      </c>
      <c r="J29" s="125"/>
    </row>
    <row r="30" spans="1:10" s="194" customFormat="1" x14ac:dyDescent="0.25">
      <c r="A30" s="192"/>
      <c r="B30" s="192"/>
      <c r="C30" s="192"/>
      <c r="D30" s="192"/>
      <c r="E30" s="192"/>
      <c r="F30" s="192"/>
      <c r="G30" s="192"/>
      <c r="H30" s="193"/>
      <c r="I30" s="123"/>
    </row>
    <row r="31" spans="1:10" x14ac:dyDescent="0.25">
      <c r="A31" s="198" t="s">
        <v>88</v>
      </c>
      <c r="C31" s="194"/>
      <c r="D31" s="194"/>
      <c r="G31" s="194"/>
      <c r="H31" s="193" t="s">
        <v>26</v>
      </c>
      <c r="I31" s="199"/>
    </row>
    <row r="32" spans="1:10" ht="20.100000000000001" customHeight="1" x14ac:dyDescent="0.25">
      <c r="A32" s="186" t="s">
        <v>27</v>
      </c>
      <c r="B32" s="187"/>
      <c r="C32" s="125"/>
      <c r="D32" s="125"/>
      <c r="E32" s="125"/>
      <c r="F32" s="125"/>
      <c r="G32" s="125"/>
      <c r="H32" s="120"/>
      <c r="I32" s="121" t="s">
        <v>130</v>
      </c>
      <c r="J32" s="125"/>
    </row>
    <row r="33" spans="1:10" ht="20.100000000000001" customHeight="1" x14ac:dyDescent="0.25">
      <c r="A33" s="188" t="s">
        <v>56</v>
      </c>
      <c r="B33" s="125"/>
      <c r="C33" s="125"/>
      <c r="D33" s="125"/>
      <c r="E33" s="125"/>
      <c r="F33" s="125"/>
      <c r="G33" s="189">
        <v>3</v>
      </c>
      <c r="H33" s="120"/>
      <c r="I33" s="122" t="s">
        <v>89</v>
      </c>
      <c r="J33" s="125"/>
    </row>
    <row r="34" spans="1:10" ht="20.100000000000001" customHeight="1" x14ac:dyDescent="0.25">
      <c r="A34" s="212" t="s">
        <v>29</v>
      </c>
      <c r="B34" s="212"/>
      <c r="C34" s="212"/>
      <c r="D34" s="212"/>
      <c r="E34" s="212"/>
      <c r="F34" s="212"/>
      <c r="G34" s="189">
        <v>7</v>
      </c>
      <c r="H34" s="120"/>
      <c r="I34" s="122" t="s">
        <v>131</v>
      </c>
      <c r="J34" s="125"/>
    </row>
    <row r="35" spans="1:10" ht="20.100000000000001" customHeight="1" x14ac:dyDescent="0.25">
      <c r="A35" s="212" t="s">
        <v>82</v>
      </c>
      <c r="B35" s="212"/>
      <c r="C35" s="212"/>
      <c r="D35" s="212"/>
      <c r="E35" s="212"/>
      <c r="F35" s="212"/>
      <c r="G35" s="190">
        <v>8</v>
      </c>
      <c r="H35" s="142"/>
      <c r="I35" s="143" t="s">
        <v>132</v>
      </c>
      <c r="J35" s="125"/>
    </row>
    <row r="36" spans="1:10" ht="20.100000000000001" customHeight="1" x14ac:dyDescent="0.25">
      <c r="A36" s="188" t="s">
        <v>30</v>
      </c>
      <c r="B36" s="125"/>
      <c r="C36" s="125"/>
      <c r="D36" s="125"/>
      <c r="E36" s="125"/>
      <c r="F36" s="125"/>
      <c r="G36" s="189">
        <v>9</v>
      </c>
      <c r="H36" s="120"/>
      <c r="I36" s="122" t="s">
        <v>90</v>
      </c>
      <c r="J36" s="125"/>
    </row>
    <row r="37" spans="1:10" ht="20.100000000000001" customHeight="1" x14ac:dyDescent="0.25">
      <c r="A37" s="188" t="s">
        <v>83</v>
      </c>
      <c r="B37" s="125"/>
      <c r="C37" s="125"/>
      <c r="D37" s="125"/>
      <c r="E37" s="125"/>
      <c r="F37" s="125"/>
      <c r="G37" s="187">
        <v>10</v>
      </c>
      <c r="H37" s="120"/>
      <c r="I37" s="122" t="s">
        <v>133</v>
      </c>
      <c r="J37" s="125"/>
    </row>
    <row r="38" spans="1:10" ht="20.100000000000001" customHeight="1" x14ac:dyDescent="0.25">
      <c r="A38" s="188" t="s">
        <v>31</v>
      </c>
      <c r="B38" s="125"/>
      <c r="C38" s="125"/>
      <c r="D38" s="125"/>
      <c r="E38" s="125"/>
      <c r="F38" s="125"/>
      <c r="G38" s="187">
        <v>11</v>
      </c>
      <c r="H38" s="120"/>
      <c r="I38" s="122" t="s">
        <v>91</v>
      </c>
      <c r="J38" s="125"/>
    </row>
    <row r="39" spans="1:10" ht="20.100000000000001" customHeight="1" x14ac:dyDescent="0.25">
      <c r="A39" s="188" t="s">
        <v>32</v>
      </c>
      <c r="B39" s="125"/>
      <c r="C39" s="125"/>
      <c r="D39" s="125"/>
      <c r="E39" s="125"/>
      <c r="F39" s="125"/>
      <c r="G39" s="187">
        <v>12</v>
      </c>
      <c r="H39" s="120"/>
      <c r="I39" s="122" t="s">
        <v>92</v>
      </c>
      <c r="J39" s="125"/>
    </row>
    <row r="40" spans="1:10" ht="20.100000000000001" customHeight="1" x14ac:dyDescent="0.25">
      <c r="A40" s="188" t="s">
        <v>33</v>
      </c>
      <c r="B40" s="125"/>
      <c r="C40" s="125"/>
      <c r="D40" s="125"/>
      <c r="E40" s="125"/>
      <c r="F40" s="125"/>
      <c r="G40" s="187">
        <v>14</v>
      </c>
      <c r="H40" s="120"/>
      <c r="I40" s="122" t="s">
        <v>134</v>
      </c>
      <c r="J40" s="125"/>
    </row>
    <row r="41" spans="1:10" ht="20.100000000000001" customHeight="1" x14ac:dyDescent="0.25">
      <c r="A41" s="125" t="s">
        <v>44</v>
      </c>
      <c r="B41" s="125"/>
      <c r="C41" s="125"/>
      <c r="D41" s="125"/>
      <c r="E41" s="125"/>
      <c r="F41" s="125"/>
      <c r="G41" s="191">
        <v>18</v>
      </c>
      <c r="H41" s="120"/>
      <c r="I41" s="122" t="s">
        <v>135</v>
      </c>
      <c r="J41" s="125"/>
    </row>
    <row r="42" spans="1:10" ht="15.75" thickBot="1" x14ac:dyDescent="0.3">
      <c r="A42" s="182"/>
      <c r="B42" s="182"/>
      <c r="C42" s="182"/>
      <c r="D42" s="182"/>
      <c r="E42" s="182"/>
      <c r="F42" s="182"/>
      <c r="G42" s="182"/>
      <c r="H42" s="183"/>
      <c r="I42" s="127" t="s">
        <v>25</v>
      </c>
    </row>
    <row r="43" spans="1:10" ht="15.75" thickTop="1" x14ac:dyDescent="0.25">
      <c r="A43" s="185" t="s">
        <v>93</v>
      </c>
      <c r="B43" s="125"/>
      <c r="C43" s="125"/>
      <c r="D43" s="125"/>
      <c r="E43" s="125"/>
      <c r="F43" s="125"/>
      <c r="G43" s="125"/>
      <c r="H43" s="120"/>
      <c r="I43" s="138"/>
      <c r="J43" s="125"/>
    </row>
    <row r="44" spans="1:10" ht="20.100000000000001" customHeight="1" x14ac:dyDescent="0.25">
      <c r="A44" s="186" t="s">
        <v>27</v>
      </c>
      <c r="I44" s="122" t="s">
        <v>136</v>
      </c>
    </row>
    <row r="45" spans="1:10" ht="20.100000000000001" customHeight="1" x14ac:dyDescent="0.25">
      <c r="A45" s="188" t="s">
        <v>137</v>
      </c>
      <c r="D45" s="125"/>
      <c r="E45" s="125"/>
      <c r="F45" s="125"/>
      <c r="G45" s="189">
        <v>19</v>
      </c>
      <c r="I45" s="122" t="s">
        <v>159</v>
      </c>
    </row>
    <row r="46" spans="1:10" ht="20.100000000000001" customHeight="1" x14ac:dyDescent="0.25">
      <c r="A46" s="188" t="s">
        <v>35</v>
      </c>
      <c r="B46" s="125"/>
      <c r="C46" s="125"/>
      <c r="D46" s="125"/>
      <c r="E46" s="125"/>
      <c r="F46" s="125"/>
      <c r="G46" s="191">
        <v>19</v>
      </c>
      <c r="H46" s="120"/>
      <c r="I46" s="122" t="s">
        <v>160</v>
      </c>
      <c r="J46" s="125"/>
    </row>
    <row r="47" spans="1:10" ht="20.100000000000001" customHeight="1" x14ac:dyDescent="0.25">
      <c r="A47" s="188" t="s">
        <v>38</v>
      </c>
      <c r="D47" s="125"/>
      <c r="E47" s="125"/>
      <c r="F47" s="125"/>
      <c r="G47" s="189">
        <v>19</v>
      </c>
      <c r="I47" s="122" t="s">
        <v>161</v>
      </c>
      <c r="J47" s="125"/>
    </row>
    <row r="48" spans="1:10" ht="20.100000000000001" customHeight="1" x14ac:dyDescent="0.25">
      <c r="A48" s="188" t="s">
        <v>36</v>
      </c>
      <c r="B48" s="187"/>
      <c r="D48" s="125"/>
      <c r="E48" s="125"/>
      <c r="F48" s="125"/>
      <c r="G48" s="191">
        <v>19</v>
      </c>
      <c r="H48" s="120"/>
      <c r="I48" s="122" t="s">
        <v>162</v>
      </c>
      <c r="J48" s="125"/>
    </row>
    <row r="49" spans="1:10" ht="20.100000000000001" customHeight="1" x14ac:dyDescent="0.25">
      <c r="A49" s="188" t="s">
        <v>37</v>
      </c>
      <c r="D49" s="125"/>
      <c r="E49" s="125"/>
      <c r="F49" s="125"/>
      <c r="G49" s="189">
        <v>19</v>
      </c>
      <c r="I49" s="122" t="s">
        <v>163</v>
      </c>
      <c r="J49" s="125"/>
    </row>
    <row r="50" spans="1:10" ht="20.100000000000001" customHeight="1" x14ac:dyDescent="0.25">
      <c r="A50" s="188" t="s">
        <v>39</v>
      </c>
      <c r="D50" s="125"/>
      <c r="E50" s="125"/>
      <c r="F50" s="125"/>
      <c r="G50" s="189">
        <v>19</v>
      </c>
      <c r="I50" s="122" t="s">
        <v>164</v>
      </c>
      <c r="J50" s="125"/>
    </row>
    <row r="51" spans="1:10" x14ac:dyDescent="0.25">
      <c r="A51" s="125"/>
      <c r="D51" s="125"/>
      <c r="E51" s="125"/>
      <c r="F51" s="125"/>
      <c r="G51" s="189"/>
      <c r="I51" s="124"/>
      <c r="J51" s="125"/>
    </row>
    <row r="52" spans="1:10" x14ac:dyDescent="0.25">
      <c r="A52" s="185" t="s">
        <v>94</v>
      </c>
      <c r="B52" s="125"/>
      <c r="C52" s="125"/>
      <c r="D52" s="125"/>
      <c r="E52" s="125"/>
      <c r="F52" s="125"/>
      <c r="G52" s="125"/>
      <c r="H52" s="120"/>
      <c r="I52" s="122" t="s">
        <v>138</v>
      </c>
      <c r="J52" s="125"/>
    </row>
    <row r="53" spans="1:10" x14ac:dyDescent="0.25">
      <c r="A53" s="185"/>
      <c r="B53" s="125"/>
      <c r="C53" s="125"/>
      <c r="D53" s="125"/>
      <c r="E53" s="125"/>
      <c r="F53" s="125"/>
      <c r="G53" s="125"/>
      <c r="H53" s="120"/>
      <c r="I53" s="122"/>
      <c r="J53" s="125"/>
    </row>
    <row r="54" spans="1:10" x14ac:dyDescent="0.25">
      <c r="A54" s="208" t="s">
        <v>95</v>
      </c>
      <c r="B54" s="209"/>
      <c r="C54" s="209"/>
      <c r="D54" s="209"/>
      <c r="E54" s="209"/>
      <c r="F54" s="209"/>
      <c r="G54" s="209"/>
      <c r="H54" s="120"/>
      <c r="I54" s="122" t="s">
        <v>139</v>
      </c>
      <c r="J54" s="125"/>
    </row>
    <row r="55" spans="1:10" ht="15" customHeight="1" x14ac:dyDescent="0.25">
      <c r="A55" s="209"/>
      <c r="B55" s="209"/>
      <c r="C55" s="209"/>
      <c r="D55" s="209"/>
      <c r="E55" s="209"/>
      <c r="F55" s="209"/>
      <c r="G55" s="209"/>
      <c r="H55" s="120"/>
      <c r="I55" s="120"/>
      <c r="J55" s="125"/>
    </row>
    <row r="56" spans="1:10" x14ac:dyDescent="0.25">
      <c r="B56" s="125"/>
      <c r="C56" s="125"/>
      <c r="D56" s="125"/>
      <c r="E56" s="125"/>
      <c r="F56" s="125"/>
      <c r="G56" s="125"/>
      <c r="H56" s="120"/>
      <c r="I56" s="120"/>
      <c r="J56" s="125"/>
    </row>
    <row r="57" spans="1:10" x14ac:dyDescent="0.25">
      <c r="A57" s="185" t="s">
        <v>96</v>
      </c>
      <c r="B57" s="125"/>
      <c r="C57" s="125"/>
      <c r="D57" s="125"/>
      <c r="E57" s="125"/>
      <c r="F57" s="125"/>
      <c r="G57" s="125"/>
      <c r="H57" s="120"/>
      <c r="I57" s="122" t="s">
        <v>140</v>
      </c>
      <c r="J57" s="125"/>
    </row>
    <row r="58" spans="1:10" ht="12.75" customHeight="1" x14ac:dyDescent="0.25">
      <c r="A58" s="185"/>
      <c r="B58" s="125"/>
      <c r="C58" s="125"/>
      <c r="D58" s="125"/>
      <c r="E58" s="125"/>
      <c r="F58" s="125"/>
      <c r="G58" s="125"/>
      <c r="H58" s="120"/>
      <c r="I58" s="120"/>
      <c r="J58" s="125"/>
    </row>
    <row r="59" spans="1:10" x14ac:dyDescent="0.25">
      <c r="A59" s="184" t="s">
        <v>141</v>
      </c>
      <c r="B59" s="125"/>
      <c r="C59" s="125"/>
      <c r="D59" s="125"/>
      <c r="E59" s="125"/>
      <c r="F59" s="125"/>
      <c r="G59" s="125"/>
      <c r="H59" s="120"/>
      <c r="I59" s="122"/>
      <c r="J59" s="125"/>
    </row>
    <row r="60" spans="1:10" ht="20.100000000000001" customHeight="1" x14ac:dyDescent="0.25">
      <c r="A60" s="125" t="s">
        <v>142</v>
      </c>
      <c r="B60" s="125"/>
      <c r="C60" s="125"/>
      <c r="D60" s="125"/>
      <c r="E60" s="125"/>
      <c r="F60" s="125"/>
      <c r="G60" s="125"/>
      <c r="H60" s="120"/>
      <c r="I60" s="120">
        <v>99</v>
      </c>
      <c r="J60" s="125"/>
    </row>
    <row r="61" spans="1:10" ht="20.100000000000001" customHeight="1" x14ac:dyDescent="0.25">
      <c r="A61" s="125" t="s">
        <v>143</v>
      </c>
      <c r="B61" s="125"/>
      <c r="C61" s="125"/>
      <c r="D61" s="125"/>
      <c r="E61" s="125"/>
      <c r="F61" s="125"/>
      <c r="G61" s="125"/>
      <c r="H61" s="120"/>
      <c r="I61" s="120">
        <v>100</v>
      </c>
      <c r="J61" s="125"/>
    </row>
    <row r="62" spans="1:10" x14ac:dyDescent="0.25">
      <c r="A62" s="185"/>
      <c r="B62" s="125"/>
      <c r="C62" s="125"/>
      <c r="D62" s="125"/>
      <c r="E62" s="125"/>
      <c r="F62" s="125"/>
      <c r="G62" s="125"/>
      <c r="H62" s="120"/>
      <c r="I62" s="120"/>
      <c r="J62" s="125"/>
    </row>
    <row r="63" spans="1:10" x14ac:dyDescent="0.25">
      <c r="A63" s="184" t="s">
        <v>99</v>
      </c>
      <c r="B63" s="125"/>
      <c r="C63" s="125"/>
      <c r="D63" s="125"/>
      <c r="E63" s="125"/>
      <c r="F63" s="125"/>
      <c r="G63" s="125"/>
      <c r="H63" s="120"/>
      <c r="I63" s="122" t="s">
        <v>144</v>
      </c>
      <c r="J63" s="125"/>
    </row>
    <row r="64" spans="1:10" ht="20.100000000000001" customHeight="1" x14ac:dyDescent="0.25">
      <c r="A64" s="125" t="s">
        <v>100</v>
      </c>
      <c r="B64" s="125"/>
      <c r="C64" s="125"/>
      <c r="D64" s="125"/>
      <c r="E64" s="125"/>
      <c r="F64" s="125"/>
      <c r="G64" s="125"/>
      <c r="H64" s="120"/>
      <c r="I64" s="120" t="s">
        <v>145</v>
      </c>
      <c r="J64" s="125"/>
    </row>
    <row r="65" spans="1:10" ht="20.100000000000001" customHeight="1" x14ac:dyDescent="0.25">
      <c r="A65" s="125" t="s">
        <v>101</v>
      </c>
      <c r="B65" s="125"/>
      <c r="C65" s="125"/>
      <c r="D65" s="125"/>
      <c r="E65" s="125"/>
      <c r="F65" s="125"/>
      <c r="G65" s="125"/>
      <c r="H65" s="120"/>
      <c r="I65" s="120" t="s">
        <v>146</v>
      </c>
      <c r="J65" s="125"/>
    </row>
    <row r="66" spans="1:10" ht="11.25" customHeight="1" x14ac:dyDescent="0.25">
      <c r="A66" s="213" t="s">
        <v>165</v>
      </c>
      <c r="B66" s="213"/>
      <c r="C66" s="213"/>
      <c r="D66" s="213"/>
      <c r="E66" s="213"/>
      <c r="F66" s="213"/>
      <c r="G66" s="213"/>
      <c r="H66" s="213"/>
      <c r="I66" s="140"/>
      <c r="J66" s="125"/>
    </row>
    <row r="67" spans="1:10" ht="15" customHeight="1" x14ac:dyDescent="0.25">
      <c r="A67" s="213"/>
      <c r="B67" s="213"/>
      <c r="C67" s="213"/>
      <c r="D67" s="213"/>
      <c r="E67" s="213"/>
      <c r="F67" s="213"/>
      <c r="G67" s="213"/>
      <c r="H67" s="213"/>
      <c r="I67" s="120" t="s">
        <v>147</v>
      </c>
      <c r="J67" s="125"/>
    </row>
    <row r="68" spans="1:10" x14ac:dyDescent="0.25">
      <c r="A68" s="195"/>
      <c r="B68" s="196"/>
      <c r="C68" s="196"/>
      <c r="D68" s="196"/>
      <c r="E68" s="125"/>
      <c r="F68" s="125"/>
      <c r="G68" s="125"/>
      <c r="H68" s="120"/>
      <c r="I68" s="122"/>
      <c r="J68" s="125"/>
    </row>
    <row r="69" spans="1:10" x14ac:dyDescent="0.25">
      <c r="A69" s="184" t="s">
        <v>148</v>
      </c>
      <c r="B69" s="196"/>
      <c r="C69" s="196"/>
      <c r="D69" s="196"/>
      <c r="E69" s="125"/>
      <c r="F69" s="125"/>
      <c r="G69" s="125"/>
      <c r="H69" s="120"/>
      <c r="I69" s="122"/>
      <c r="J69" s="125"/>
    </row>
    <row r="70" spans="1:10" ht="0.75" customHeight="1" x14ac:dyDescent="0.25">
      <c r="A70" s="184"/>
      <c r="B70" s="196"/>
      <c r="C70" s="196"/>
      <c r="D70" s="196"/>
      <c r="E70" s="125"/>
      <c r="F70" s="125"/>
      <c r="G70" s="125"/>
      <c r="H70" s="120"/>
      <c r="I70" s="122"/>
      <c r="J70" s="125"/>
    </row>
    <row r="71" spans="1:10" x14ac:dyDescent="0.25">
      <c r="A71" s="188" t="s">
        <v>149</v>
      </c>
      <c r="B71" s="125"/>
      <c r="C71" s="125"/>
      <c r="D71" s="125"/>
      <c r="E71" s="125"/>
      <c r="F71" s="125"/>
      <c r="G71" s="191">
        <v>19</v>
      </c>
      <c r="H71" s="120"/>
      <c r="I71" s="122" t="s">
        <v>150</v>
      </c>
      <c r="J71" s="125"/>
    </row>
    <row r="72" spans="1:10" ht="4.5" customHeight="1" x14ac:dyDescent="0.25">
      <c r="A72" s="188"/>
      <c r="B72" s="125"/>
      <c r="C72" s="125"/>
      <c r="D72" s="125"/>
      <c r="E72" s="125"/>
      <c r="F72" s="125"/>
      <c r="G72" s="191"/>
      <c r="H72" s="120"/>
      <c r="I72" s="120"/>
      <c r="J72" s="125"/>
    </row>
    <row r="73" spans="1:10" x14ac:dyDescent="0.25">
      <c r="A73" s="188" t="s">
        <v>151</v>
      </c>
      <c r="D73" s="125"/>
      <c r="E73" s="125"/>
      <c r="F73" s="125"/>
      <c r="G73" s="189">
        <v>19</v>
      </c>
      <c r="I73" s="122" t="s">
        <v>152</v>
      </c>
      <c r="J73" s="125"/>
    </row>
    <row r="74" spans="1:10" ht="4.5" customHeight="1" x14ac:dyDescent="0.25">
      <c r="A74" s="188"/>
      <c r="B74" s="187"/>
      <c r="D74" s="125"/>
      <c r="E74" s="125"/>
      <c r="F74" s="125"/>
      <c r="G74" s="191"/>
      <c r="H74" s="120"/>
      <c r="I74" s="126"/>
      <c r="J74" s="125"/>
    </row>
    <row r="75" spans="1:10" x14ac:dyDescent="0.25">
      <c r="A75" s="188" t="s">
        <v>153</v>
      </c>
      <c r="B75" s="187"/>
      <c r="D75" s="125"/>
      <c r="E75" s="125"/>
      <c r="F75" s="125"/>
      <c r="G75" s="191">
        <v>19</v>
      </c>
      <c r="H75" s="120"/>
      <c r="I75" s="122" t="s">
        <v>154</v>
      </c>
      <c r="J75" s="125"/>
    </row>
    <row r="76" spans="1:10" ht="3.75" customHeight="1" x14ac:dyDescent="0.25">
      <c r="A76" s="188"/>
      <c r="D76" s="125"/>
      <c r="E76" s="125"/>
      <c r="F76" s="125"/>
      <c r="G76" s="189"/>
      <c r="I76" s="126"/>
      <c r="J76" s="125"/>
    </row>
    <row r="77" spans="1:10" x14ac:dyDescent="0.25">
      <c r="A77" s="188" t="s">
        <v>155</v>
      </c>
      <c r="D77" s="125"/>
      <c r="E77" s="125"/>
      <c r="F77" s="125"/>
      <c r="G77" s="189">
        <v>19</v>
      </c>
      <c r="I77" s="122" t="s">
        <v>156</v>
      </c>
    </row>
    <row r="78" spans="1:10" ht="3" customHeight="1" x14ac:dyDescent="0.25">
      <c r="A78" s="188"/>
      <c r="D78" s="125"/>
      <c r="E78" s="125"/>
      <c r="F78" s="125"/>
      <c r="G78" s="189"/>
      <c r="I78" s="126"/>
    </row>
    <row r="79" spans="1:10" x14ac:dyDescent="0.25">
      <c r="A79" s="188" t="s">
        <v>157</v>
      </c>
      <c r="D79" s="125"/>
      <c r="E79" s="125"/>
      <c r="F79" s="125"/>
      <c r="G79" s="189">
        <v>19</v>
      </c>
      <c r="I79" s="122" t="s">
        <v>158</v>
      </c>
    </row>
  </sheetData>
  <mergeCells count="7">
    <mergeCell ref="A66:H67"/>
    <mergeCell ref="A54:G55"/>
    <mergeCell ref="A3:H3"/>
    <mergeCell ref="A8:H8"/>
    <mergeCell ref="A19:F19"/>
    <mergeCell ref="A34:F34"/>
    <mergeCell ref="A35:F35"/>
  </mergeCells>
  <pageMargins left="0.70866141732283472" right="0.70866141732283472" top="0.78740157480314965" bottom="0.78740157480314965" header="0.31496062992125984" footer="0.31496062992125984"/>
  <pageSetup paperSize="9" scale="97" firstPageNumber="6" orientation="portrait" useFirstPageNumber="1" r:id="rId1"/>
  <headerFooter>
    <oddFooter>&amp;L&amp;"-,Kurzíva"Zastupitelstvo Olomouckého kraje 19-12-2016
6. - Rozpočet Olomouckého kraje 2017 - návrh rozpočtu&amp;R&amp;"-,Kurzíva"Strana &amp;P (celkem 137)</oddFooter>
  </headerFooter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topLeftCell="A43" zoomScaleNormal="100" zoomScaleSheetLayoutView="100" workbookViewId="0">
      <selection activeCell="B77" sqref="B77"/>
    </sheetView>
  </sheetViews>
  <sheetFormatPr defaultRowHeight="15" x14ac:dyDescent="0.25"/>
  <cols>
    <col min="1" max="1" width="5.28515625" style="83" customWidth="1"/>
    <col min="2" max="2" width="52" style="1" customWidth="1"/>
    <col min="3" max="4" width="23.140625" style="1" customWidth="1"/>
    <col min="5" max="5" width="21" style="1" hidden="1" customWidth="1"/>
    <col min="6" max="6" width="21" style="113" customWidth="1"/>
    <col min="7" max="7" width="9.42578125" style="1" customWidth="1"/>
    <col min="8" max="8" width="9.140625" style="1"/>
    <col min="9" max="9" width="11.7109375" style="21" bestFit="1" customWidth="1"/>
    <col min="10" max="16384" width="9.140625" style="1"/>
  </cols>
  <sheetData>
    <row r="1" spans="1:9" ht="16.5" x14ac:dyDescent="0.25">
      <c r="A1" s="177" t="s">
        <v>63</v>
      </c>
      <c r="B1" s="176"/>
      <c r="C1" s="176"/>
      <c r="D1" s="176"/>
    </row>
    <row r="2" spans="1:9" ht="16.5" thickBot="1" x14ac:dyDescent="0.3">
      <c r="A2" s="89" t="s">
        <v>43</v>
      </c>
      <c r="G2" s="2" t="s">
        <v>0</v>
      </c>
    </row>
    <row r="3" spans="1:9" ht="36" customHeight="1" thickTop="1" thickBot="1" x14ac:dyDescent="0.3">
      <c r="A3" s="80" t="s">
        <v>1</v>
      </c>
      <c r="B3" s="67" t="s">
        <v>41</v>
      </c>
      <c r="C3" s="39" t="s">
        <v>102</v>
      </c>
      <c r="D3" s="39" t="s">
        <v>61</v>
      </c>
      <c r="E3" s="39" t="s">
        <v>45</v>
      </c>
      <c r="F3" s="100" t="s">
        <v>62</v>
      </c>
      <c r="G3" s="35" t="s">
        <v>2</v>
      </c>
    </row>
    <row r="4" spans="1:9" s="3" customFormat="1" ht="12.75" thickTop="1" thickBot="1" x14ac:dyDescent="0.25">
      <c r="A4" s="36">
        <v>1</v>
      </c>
      <c r="B4" s="37">
        <v>2</v>
      </c>
      <c r="C4" s="38">
        <v>3</v>
      </c>
      <c r="D4" s="38">
        <v>4</v>
      </c>
      <c r="E4" s="51">
        <v>4</v>
      </c>
      <c r="F4" s="69">
        <v>5</v>
      </c>
      <c r="G4" s="40" t="s">
        <v>109</v>
      </c>
      <c r="I4" s="73"/>
    </row>
    <row r="5" spans="1:9" ht="15.75" thickTop="1" x14ac:dyDescent="0.25">
      <c r="A5" s="4">
        <v>1</v>
      </c>
      <c r="B5" s="5" t="s">
        <v>3</v>
      </c>
      <c r="C5" s="6">
        <v>3532716</v>
      </c>
      <c r="D5" s="6">
        <f>SUM([1]Příjmy!$D$12)</f>
        <v>3828000</v>
      </c>
      <c r="E5" s="43">
        <f>SUM([2]Příjmy!$G$14)</f>
        <v>3195000</v>
      </c>
      <c r="F5" s="102">
        <f>SUM([1]Příjmy!$F$12)</f>
        <v>4100000</v>
      </c>
      <c r="G5" s="41">
        <f>F5/D5*100</f>
        <v>107.10553814002091</v>
      </c>
    </row>
    <row r="6" spans="1:9" x14ac:dyDescent="0.25">
      <c r="A6" s="8">
        <v>2</v>
      </c>
      <c r="B6" s="9" t="s">
        <v>4</v>
      </c>
      <c r="C6" s="10">
        <v>1343</v>
      </c>
      <c r="D6" s="10">
        <f>SUM([1]Příjmy!$D$13)</f>
        <v>980</v>
      </c>
      <c r="E6" s="26">
        <v>1712</v>
      </c>
      <c r="F6" s="25">
        <v>1290</v>
      </c>
      <c r="G6" s="41">
        <f>F6/D6*100</f>
        <v>131.63265306122449</v>
      </c>
    </row>
    <row r="7" spans="1:9" x14ac:dyDescent="0.25">
      <c r="A7" s="4">
        <v>3</v>
      </c>
      <c r="B7" s="9" t="s">
        <v>58</v>
      </c>
      <c r="C7" s="10">
        <f>908+304</f>
        <v>1212</v>
      </c>
      <c r="D7" s="10">
        <f>SUM([1]Příjmy!$D$14)</f>
        <v>1000</v>
      </c>
      <c r="E7" s="26"/>
      <c r="F7" s="25">
        <f>1210+100</f>
        <v>1310</v>
      </c>
      <c r="G7" s="41">
        <f>F7/D7*100</f>
        <v>131</v>
      </c>
    </row>
    <row r="8" spans="1:9" x14ac:dyDescent="0.25">
      <c r="A8" s="8">
        <v>4</v>
      </c>
      <c r="B8" s="11" t="s">
        <v>11</v>
      </c>
      <c r="C8" s="12">
        <v>161961</v>
      </c>
      <c r="D8" s="12">
        <f>SUM([1]Příjmy!$D$16)</f>
        <v>158757</v>
      </c>
      <c r="E8" s="26">
        <f>SUM([2]Příjmy!$G$17)</f>
        <v>141823</v>
      </c>
      <c r="F8" s="25">
        <f>SUM([1]Příjmy!$F$16)</f>
        <v>170165</v>
      </c>
      <c r="G8" s="41">
        <f>F8/D8*100</f>
        <v>107.18582487701329</v>
      </c>
    </row>
    <row r="9" spans="1:9" x14ac:dyDescent="0.25">
      <c r="A9" s="4">
        <v>5</v>
      </c>
      <c r="B9" s="9" t="s">
        <v>5</v>
      </c>
      <c r="C9" s="10">
        <f>25+408+37900+157</f>
        <v>38490</v>
      </c>
      <c r="D9" s="10">
        <f>SUM([1]Příjmy!$D$17:$D$20)</f>
        <v>38231.199999999997</v>
      </c>
      <c r="E9" s="26">
        <f>20+43+37873+22.2</f>
        <v>37958.199999999997</v>
      </c>
      <c r="F9" s="175">
        <f>25+223+30789+142.2</f>
        <v>31179.200000000001</v>
      </c>
      <c r="G9" s="41">
        <f t="shared" ref="G9:G21" si="0">F9/D9*100</f>
        <v>81.55433258699702</v>
      </c>
    </row>
    <row r="10" spans="1:9" x14ac:dyDescent="0.25">
      <c r="A10" s="8">
        <v>6</v>
      </c>
      <c r="B10" s="9" t="s">
        <v>6</v>
      </c>
      <c r="C10" s="10">
        <f>512+3443</f>
        <v>3955</v>
      </c>
      <c r="D10" s="10">
        <f>SUM([1]Příjmy!$D$21:$D$22)</f>
        <v>2380</v>
      </c>
      <c r="E10" s="26">
        <f>200+1630</f>
        <v>1830</v>
      </c>
      <c r="F10" s="25">
        <f>250+2230</f>
        <v>2480</v>
      </c>
      <c r="G10" s="41">
        <f>F10/D10*100</f>
        <v>104.20168067226892</v>
      </c>
    </row>
    <row r="11" spans="1:9" x14ac:dyDescent="0.25">
      <c r="A11" s="4">
        <v>7</v>
      </c>
      <c r="B11" s="146" t="s">
        <v>7</v>
      </c>
      <c r="C11" s="10">
        <f>37493+3424+0</f>
        <v>40917</v>
      </c>
      <c r="D11" s="10">
        <f>SUM([1]Příjmy!$D$23:$D$24)</f>
        <v>38495</v>
      </c>
      <c r="E11" s="26">
        <v>0</v>
      </c>
      <c r="F11" s="25">
        <f>37742+450+2000</f>
        <v>40192</v>
      </c>
      <c r="G11" s="151">
        <f t="shared" si="0"/>
        <v>104.40836472269126</v>
      </c>
    </row>
    <row r="12" spans="1:9" s="14" customFormat="1" x14ac:dyDescent="0.25">
      <c r="A12" s="8">
        <v>8</v>
      </c>
      <c r="B12" s="152" t="s">
        <v>14</v>
      </c>
      <c r="C12" s="10">
        <v>12615</v>
      </c>
      <c r="D12" s="10">
        <f>SUM([1]Příjmy!$D$26)</f>
        <v>9218</v>
      </c>
      <c r="E12" s="26">
        <f>400+9500</f>
        <v>9900</v>
      </c>
      <c r="F12" s="25">
        <v>6600</v>
      </c>
      <c r="G12" s="41">
        <f>F12/D12*100</f>
        <v>71.599045346062056</v>
      </c>
      <c r="I12" s="68"/>
    </row>
    <row r="13" spans="1:9" x14ac:dyDescent="0.25">
      <c r="A13" s="4">
        <v>9</v>
      </c>
      <c r="B13" s="5" t="s">
        <v>8</v>
      </c>
      <c r="C13" s="6">
        <f>238+14957</f>
        <v>15195</v>
      </c>
      <c r="D13" s="6">
        <f>SUM([1]Příjmy!$D$27:$D$29)</f>
        <v>54900</v>
      </c>
      <c r="E13" s="43">
        <f>400+18000</f>
        <v>18400</v>
      </c>
      <c r="F13" s="102">
        <f>SUM([1]Příjmy!$F$27:$F$29)</f>
        <v>13200</v>
      </c>
      <c r="G13" s="41">
        <f t="shared" si="0"/>
        <v>24.043715846994534</v>
      </c>
    </row>
    <row r="14" spans="1:9" x14ac:dyDescent="0.25">
      <c r="A14" s="8">
        <v>10</v>
      </c>
      <c r="B14" s="9" t="s">
        <v>9</v>
      </c>
      <c r="C14" s="10">
        <v>636</v>
      </c>
      <c r="D14" s="10">
        <f>SUM([1]Příjmy!$D$30)</f>
        <v>1800.8</v>
      </c>
      <c r="E14" s="26">
        <v>4000.8</v>
      </c>
      <c r="F14" s="175">
        <f>SUM([1]Příjmy!$F$30)</f>
        <v>1000.4</v>
      </c>
      <c r="G14" s="41">
        <f t="shared" si="0"/>
        <v>55.553087516659261</v>
      </c>
    </row>
    <row r="15" spans="1:9" x14ac:dyDescent="0.25">
      <c r="A15" s="4">
        <v>11</v>
      </c>
      <c r="B15" s="11" t="s">
        <v>10</v>
      </c>
      <c r="C15" s="12">
        <v>73854</v>
      </c>
      <c r="D15" s="12">
        <f>SUM([1]Příjmy!$D$31)</f>
        <v>76028</v>
      </c>
      <c r="E15" s="26">
        <v>73854</v>
      </c>
      <c r="F15" s="175">
        <f>SUM([1]Příjmy!$F$31)</f>
        <v>81145.399999999994</v>
      </c>
      <c r="G15" s="41">
        <f t="shared" si="0"/>
        <v>106.73094123217761</v>
      </c>
    </row>
    <row r="16" spans="1:9" x14ac:dyDescent="0.25">
      <c r="A16" s="4">
        <v>12</v>
      </c>
      <c r="B16" s="11" t="s">
        <v>70</v>
      </c>
      <c r="C16" s="12"/>
      <c r="D16" s="12"/>
      <c r="E16" s="26"/>
      <c r="F16" s="25">
        <f>SUM([3]Příjmy!$F$32)</f>
        <v>6291</v>
      </c>
      <c r="G16" s="41"/>
    </row>
    <row r="17" spans="1:9" ht="15" customHeight="1" x14ac:dyDescent="0.25">
      <c r="A17" s="4">
        <v>13</v>
      </c>
      <c r="B17" s="173" t="s">
        <v>71</v>
      </c>
      <c r="C17" s="12">
        <v>137005</v>
      </c>
      <c r="D17" s="12"/>
      <c r="E17" s="26"/>
      <c r="F17" s="25">
        <f>SUM([3]Příjmy!$F$33)</f>
        <v>50000</v>
      </c>
      <c r="G17" s="41"/>
    </row>
    <row r="18" spans="1:9" ht="15" customHeight="1" x14ac:dyDescent="0.25">
      <c r="A18" s="4">
        <v>14</v>
      </c>
      <c r="B18" s="173" t="s">
        <v>104</v>
      </c>
      <c r="C18" s="12">
        <v>7464241</v>
      </c>
      <c r="D18" s="12"/>
      <c r="E18" s="26"/>
      <c r="F18" s="25"/>
      <c r="G18" s="41"/>
    </row>
    <row r="19" spans="1:9" ht="15" customHeight="1" x14ac:dyDescent="0.25">
      <c r="A19" s="4">
        <v>15</v>
      </c>
      <c r="B19" s="173" t="s">
        <v>105</v>
      </c>
      <c r="C19" s="12">
        <f>467848-6424</f>
        <v>461424</v>
      </c>
      <c r="D19" s="12"/>
      <c r="E19" s="26"/>
      <c r="F19" s="25"/>
      <c r="G19" s="41"/>
    </row>
    <row r="20" spans="1:9" x14ac:dyDescent="0.25">
      <c r="A20" s="8">
        <v>16</v>
      </c>
      <c r="B20" s="11" t="s">
        <v>12</v>
      </c>
      <c r="C20" s="12">
        <v>7280</v>
      </c>
      <c r="D20" s="12">
        <v>8085</v>
      </c>
      <c r="E20" s="26">
        <v>6391</v>
      </c>
      <c r="F20" s="25">
        <v>8242</v>
      </c>
      <c r="G20" s="41">
        <f t="shared" si="0"/>
        <v>101.94186765615336</v>
      </c>
    </row>
    <row r="21" spans="1:9" s="13" customFormat="1" ht="33" customHeight="1" x14ac:dyDescent="0.2">
      <c r="A21" s="4">
        <v>17</v>
      </c>
      <c r="B21" s="11" t="s">
        <v>13</v>
      </c>
      <c r="C21" s="12">
        <v>63636</v>
      </c>
      <c r="D21" s="12">
        <v>50000</v>
      </c>
      <c r="E21" s="12">
        <v>40000</v>
      </c>
      <c r="F21" s="27">
        <v>50000</v>
      </c>
      <c r="G21" s="141">
        <f t="shared" si="0"/>
        <v>100</v>
      </c>
      <c r="I21" s="74"/>
    </row>
    <row r="22" spans="1:9" s="18" customFormat="1" ht="15.75" x14ac:dyDescent="0.25">
      <c r="A22" s="15">
        <v>18</v>
      </c>
      <c r="B22" s="16" t="s">
        <v>15</v>
      </c>
      <c r="C22" s="17">
        <f>SUM(C5:C21)</f>
        <v>12016480</v>
      </c>
      <c r="D22" s="17">
        <f>SUM(D5:D21)</f>
        <v>4267875</v>
      </c>
      <c r="E22" s="17">
        <f>SUM(E5:E21)</f>
        <v>3530869</v>
      </c>
      <c r="F22" s="17">
        <f>SUM(F5:F21)</f>
        <v>4563095.0000000009</v>
      </c>
      <c r="G22" s="42">
        <f t="shared" ref="G22:G24" si="1">F22/D22*100</f>
        <v>106.91725976041944</v>
      </c>
      <c r="I22" s="75"/>
    </row>
    <row r="23" spans="1:9" s="19" customFormat="1" ht="14.25" x14ac:dyDescent="0.2">
      <c r="A23" s="15">
        <v>19</v>
      </c>
      <c r="B23" s="44" t="s">
        <v>16</v>
      </c>
      <c r="C23" s="45">
        <v>-467848</v>
      </c>
      <c r="D23" s="45">
        <v>-8083</v>
      </c>
      <c r="E23" s="46">
        <v>-6388</v>
      </c>
      <c r="F23" s="103">
        <v>-8240</v>
      </c>
      <c r="G23" s="47">
        <f t="shared" si="1"/>
        <v>101.94234813806756</v>
      </c>
      <c r="I23" s="76"/>
    </row>
    <row r="24" spans="1:9" ht="21" customHeight="1" thickBot="1" x14ac:dyDescent="0.3">
      <c r="A24" s="65">
        <v>18</v>
      </c>
      <c r="B24" s="48" t="s">
        <v>21</v>
      </c>
      <c r="C24" s="49">
        <f>SUM(C22:C23)</f>
        <v>11548632</v>
      </c>
      <c r="D24" s="49">
        <f>SUM(D22:D23)</f>
        <v>4259792</v>
      </c>
      <c r="E24" s="49">
        <f>SUM(E22:E23)</f>
        <v>3524481</v>
      </c>
      <c r="F24" s="49">
        <f>SUM(F22:F23)</f>
        <v>4554855.0000000009</v>
      </c>
      <c r="G24" s="50">
        <f t="shared" si="1"/>
        <v>106.92669970740359</v>
      </c>
      <c r="H24" s="21"/>
    </row>
    <row r="25" spans="1:9" ht="15.75" thickTop="1" x14ac:dyDescent="0.25"/>
    <row r="26" spans="1:9" ht="16.5" thickBot="1" x14ac:dyDescent="0.3">
      <c r="A26" s="88" t="s">
        <v>42</v>
      </c>
      <c r="B26" s="22"/>
      <c r="G26" s="2" t="s">
        <v>0</v>
      </c>
    </row>
    <row r="27" spans="1:9" s="23" customFormat="1" ht="33.75" customHeight="1" thickTop="1" thickBot="1" x14ac:dyDescent="0.25">
      <c r="A27" s="84" t="s">
        <v>1</v>
      </c>
      <c r="B27" s="34" t="s">
        <v>17</v>
      </c>
      <c r="C27" s="39" t="s">
        <v>102</v>
      </c>
      <c r="D27" s="39" t="s">
        <v>61</v>
      </c>
      <c r="E27" s="39" t="s">
        <v>45</v>
      </c>
      <c r="F27" s="100" t="s">
        <v>62</v>
      </c>
      <c r="G27" s="35" t="s">
        <v>2</v>
      </c>
      <c r="H27" s="128"/>
      <c r="I27" s="79"/>
    </row>
    <row r="28" spans="1:9" s="3" customFormat="1" ht="12.75" thickTop="1" thickBot="1" x14ac:dyDescent="0.25">
      <c r="A28" s="36">
        <v>1</v>
      </c>
      <c r="B28" s="37">
        <v>2</v>
      </c>
      <c r="C28" s="38">
        <v>3</v>
      </c>
      <c r="D28" s="38">
        <v>4</v>
      </c>
      <c r="E28" s="51">
        <v>4</v>
      </c>
      <c r="F28" s="69">
        <v>5</v>
      </c>
      <c r="G28" s="40" t="s">
        <v>109</v>
      </c>
      <c r="H28" s="129"/>
      <c r="I28" s="73"/>
    </row>
    <row r="29" spans="1:9" ht="15.75" thickTop="1" x14ac:dyDescent="0.25">
      <c r="A29" s="4">
        <v>1</v>
      </c>
      <c r="B29" s="24" t="s">
        <v>106</v>
      </c>
      <c r="C29" s="92">
        <f>SUM(C30:C31)</f>
        <v>4351416</v>
      </c>
      <c r="D29" s="92">
        <f>SUM([4]celkem!$D$22)</f>
        <v>649860</v>
      </c>
      <c r="E29" s="93">
        <v>1474168</v>
      </c>
      <c r="F29" s="200">
        <v>686314</v>
      </c>
      <c r="G29" s="137">
        <f>F29/D29*100</f>
        <v>105.60951589573139</v>
      </c>
      <c r="H29" s="130"/>
    </row>
    <row r="30" spans="1:9" x14ac:dyDescent="0.25">
      <c r="A30" s="4"/>
      <c r="B30" s="5" t="s">
        <v>55</v>
      </c>
      <c r="C30" s="179">
        <v>529244</v>
      </c>
      <c r="D30" s="179"/>
      <c r="E30" s="179"/>
      <c r="F30" s="180"/>
      <c r="G30" s="178"/>
      <c r="H30" s="130"/>
    </row>
    <row r="31" spans="1:9" x14ac:dyDescent="0.25">
      <c r="A31" s="4"/>
      <c r="B31" s="5" t="s">
        <v>107</v>
      </c>
      <c r="C31" s="179">
        <v>3822172</v>
      </c>
      <c r="D31" s="179"/>
      <c r="E31" s="179"/>
      <c r="F31" s="180"/>
      <c r="G31" s="178"/>
      <c r="H31" s="130"/>
    </row>
    <row r="32" spans="1:9" x14ac:dyDescent="0.25">
      <c r="A32" s="8">
        <v>2</v>
      </c>
      <c r="B32" s="5" t="s">
        <v>66</v>
      </c>
      <c r="C32" s="102">
        <v>276809</v>
      </c>
      <c r="D32" s="102">
        <f>SUM([5]rekapitulace!$E$91)</f>
        <v>318143</v>
      </c>
      <c r="E32" s="93"/>
      <c r="F32" s="200">
        <v>289230</v>
      </c>
      <c r="G32" s="137">
        <f>F32/D32*100</f>
        <v>90.911948400562011</v>
      </c>
      <c r="H32" s="130"/>
    </row>
    <row r="33" spans="1:10" x14ac:dyDescent="0.25">
      <c r="A33" s="144">
        <v>3</v>
      </c>
      <c r="B33" s="146" t="s">
        <v>103</v>
      </c>
      <c r="C33" s="25">
        <f>SUM(C34,C42)</f>
        <v>5110495</v>
      </c>
      <c r="D33" s="25">
        <f>SUM(D35:D41)</f>
        <v>2395371</v>
      </c>
      <c r="E33" s="25">
        <f t="shared" ref="E33" si="2">SUM(E35:E41)</f>
        <v>0</v>
      </c>
      <c r="F33" s="25">
        <f>SUM(F35:F41)</f>
        <v>2496931</v>
      </c>
      <c r="G33" s="137">
        <f>F33/D33*100</f>
        <v>104.23984426629529</v>
      </c>
      <c r="H33" s="130"/>
      <c r="J33" s="21"/>
    </row>
    <row r="34" spans="1:10" x14ac:dyDescent="0.25">
      <c r="A34" s="145"/>
      <c r="B34" s="146" t="s">
        <v>110</v>
      </c>
      <c r="C34" s="98">
        <f>SUM(C35:C41)</f>
        <v>2296087</v>
      </c>
      <c r="D34" s="98">
        <f t="shared" ref="D34:E34" si="3">SUM(D35:D41)</f>
        <v>2395371</v>
      </c>
      <c r="E34" s="98">
        <f t="shared" si="3"/>
        <v>0</v>
      </c>
      <c r="F34" s="98">
        <f>SUM(F35:F41)</f>
        <v>2496931</v>
      </c>
      <c r="G34" s="178">
        <f>F34/D34*100</f>
        <v>104.23984426629529</v>
      </c>
      <c r="H34" s="130"/>
      <c r="J34" s="21"/>
    </row>
    <row r="35" spans="1:10" x14ac:dyDescent="0.25">
      <c r="A35" s="145"/>
      <c r="B35" s="147" t="s">
        <v>46</v>
      </c>
      <c r="C35" s="86">
        <v>911473</v>
      </c>
      <c r="D35" s="86">
        <f>SUM('[6]Sumář celkem'!$D$59)</f>
        <v>954701</v>
      </c>
      <c r="E35" s="149"/>
      <c r="F35" s="104">
        <f>SUM('[7]Sumář celkem'!$G$60)</f>
        <v>962615</v>
      </c>
      <c r="G35" s="87">
        <f>F35/D35*100</f>
        <v>100.82895063480608</v>
      </c>
      <c r="H35" s="130"/>
    </row>
    <row r="36" spans="1:10" x14ac:dyDescent="0.25">
      <c r="A36" s="145"/>
      <c r="B36" s="147" t="s">
        <v>48</v>
      </c>
      <c r="C36" s="86">
        <v>203064</v>
      </c>
      <c r="D36" s="86">
        <f>SUM('[6]Sumář celkem'!$D$60)</f>
        <v>211135</v>
      </c>
      <c r="E36" s="149"/>
      <c r="F36" s="104">
        <f>SUM('[7]Sumář celkem'!$G$61)</f>
        <v>215434</v>
      </c>
      <c r="G36" s="87">
        <f t="shared" ref="G36:G41" si="4">F36/D36*100</f>
        <v>102.03613801596134</v>
      </c>
      <c r="H36" s="130"/>
    </row>
    <row r="37" spans="1:10" x14ac:dyDescent="0.25">
      <c r="A37" s="145"/>
      <c r="B37" s="147" t="s">
        <v>47</v>
      </c>
      <c r="C37" s="86">
        <v>286197</v>
      </c>
      <c r="D37" s="86">
        <f>SUM('[6]Sumář celkem'!$D$61)</f>
        <v>296153</v>
      </c>
      <c r="E37" s="149"/>
      <c r="F37" s="104">
        <f>SUM('[7]Sumář celkem'!$G$62)</f>
        <v>323749</v>
      </c>
      <c r="G37" s="87">
        <f t="shared" si="4"/>
        <v>109.31815649343413</v>
      </c>
      <c r="H37" s="130"/>
    </row>
    <row r="38" spans="1:10" x14ac:dyDescent="0.25">
      <c r="A38" s="159"/>
      <c r="B38" s="148" t="s">
        <v>64</v>
      </c>
      <c r="C38" s="150">
        <v>524</v>
      </c>
      <c r="D38" s="150">
        <f>SUM('[6]Sumář celkem'!$D$62)</f>
        <v>10503</v>
      </c>
      <c r="E38" s="160"/>
      <c r="F38" s="204">
        <f>SUM('[7]Sumář celkem'!$G$63)</f>
        <v>5890</v>
      </c>
      <c r="G38" s="87">
        <f t="shared" si="4"/>
        <v>56.079215462248875</v>
      </c>
    </row>
    <row r="39" spans="1:10" x14ac:dyDescent="0.25">
      <c r="A39" s="145"/>
      <c r="B39" s="147" t="s">
        <v>49</v>
      </c>
      <c r="C39" s="86">
        <f>9849+180</f>
        <v>10029</v>
      </c>
      <c r="D39" s="86">
        <f>SUM('[6]Sumář celkem'!$D$63:$D$64)</f>
        <v>10049</v>
      </c>
      <c r="E39" s="149"/>
      <c r="F39" s="104">
        <f>SUM('[7]Sumář celkem'!$G$64:$G$65)</f>
        <v>1931</v>
      </c>
      <c r="G39" s="87">
        <f t="shared" si="4"/>
        <v>19.215842372375359</v>
      </c>
      <c r="H39" s="130"/>
    </row>
    <row r="40" spans="1:10" x14ac:dyDescent="0.25">
      <c r="A40" s="145"/>
      <c r="B40" s="147" t="s">
        <v>65</v>
      </c>
      <c r="C40" s="86">
        <v>0</v>
      </c>
      <c r="D40" s="86">
        <f>SUM('[6]Sumář celkem'!$D$65)</f>
        <v>10000</v>
      </c>
      <c r="E40" s="149"/>
      <c r="F40" s="104">
        <f>SUM('[7]Sumář celkem'!$G$66)</f>
        <v>50000</v>
      </c>
      <c r="G40" s="87">
        <f t="shared" si="4"/>
        <v>500</v>
      </c>
      <c r="H40" s="130"/>
    </row>
    <row r="41" spans="1:10" x14ac:dyDescent="0.25">
      <c r="A41" s="145"/>
      <c r="B41" s="147" t="s">
        <v>54</v>
      </c>
      <c r="C41" s="86">
        <v>884800</v>
      </c>
      <c r="D41" s="86">
        <f>SUM('[6]Sumář celkem'!$D$66)</f>
        <v>902830</v>
      </c>
      <c r="E41" s="71"/>
      <c r="F41" s="104">
        <f>SUM('[7]Sumář celkem'!$G$67)</f>
        <v>937312</v>
      </c>
      <c r="G41" s="87">
        <f t="shared" si="4"/>
        <v>103.81932368219931</v>
      </c>
      <c r="H41" s="130"/>
    </row>
    <row r="42" spans="1:10" x14ac:dyDescent="0.25">
      <c r="A42" s="145"/>
      <c r="B42" s="146" t="s">
        <v>111</v>
      </c>
      <c r="C42" s="98">
        <v>2814408</v>
      </c>
      <c r="D42" s="86"/>
      <c r="E42" s="71"/>
      <c r="F42" s="104"/>
      <c r="G42" s="87"/>
      <c r="H42" s="130"/>
    </row>
    <row r="43" spans="1:10" x14ac:dyDescent="0.25">
      <c r="A43" s="4">
        <v>4</v>
      </c>
      <c r="B43" s="9" t="s">
        <v>18</v>
      </c>
      <c r="C43" s="25">
        <v>6748</v>
      </c>
      <c r="D43" s="25">
        <v>8085</v>
      </c>
      <c r="E43" s="71">
        <v>6391</v>
      </c>
      <c r="F43" s="201">
        <f>SUM('[8]ORJ - 199'!$G$15)</f>
        <v>8242</v>
      </c>
      <c r="G43" s="7">
        <f t="shared" ref="G43:G46" si="5">F43/D43*100</f>
        <v>101.94186765615336</v>
      </c>
      <c r="H43" s="130"/>
    </row>
    <row r="44" spans="1:10" s="13" customFormat="1" ht="31.5" customHeight="1" x14ac:dyDescent="0.2">
      <c r="A44" s="8">
        <v>5</v>
      </c>
      <c r="B44" s="11" t="s">
        <v>13</v>
      </c>
      <c r="C44" s="27">
        <v>76597</v>
      </c>
      <c r="D44" s="27">
        <v>50000</v>
      </c>
      <c r="E44" s="94">
        <v>40000</v>
      </c>
      <c r="F44" s="202">
        <v>50000</v>
      </c>
      <c r="G44" s="7">
        <f t="shared" si="5"/>
        <v>100</v>
      </c>
      <c r="H44" s="131"/>
      <c r="I44" s="74"/>
    </row>
    <row r="45" spans="1:10" s="14" customFormat="1" x14ac:dyDescent="0.25">
      <c r="A45" s="4">
        <v>6</v>
      </c>
      <c r="B45" s="28" t="s">
        <v>19</v>
      </c>
      <c r="C45" s="95">
        <v>614235</v>
      </c>
      <c r="D45" s="95">
        <v>21114</v>
      </c>
      <c r="E45" s="94">
        <v>39914</v>
      </c>
      <c r="F45" s="202">
        <v>17458</v>
      </c>
      <c r="G45" s="7">
        <f t="shared" si="5"/>
        <v>82.684474756086018</v>
      </c>
      <c r="H45" s="132"/>
      <c r="I45" s="68"/>
    </row>
    <row r="46" spans="1:10" s="14" customFormat="1" x14ac:dyDescent="0.25">
      <c r="A46" s="8">
        <v>7</v>
      </c>
      <c r="B46" s="28" t="s">
        <v>97</v>
      </c>
      <c r="C46" s="27">
        <v>1589873</v>
      </c>
      <c r="D46" s="27">
        <f>SUM(D47:D50)</f>
        <v>846115</v>
      </c>
      <c r="E46" s="27">
        <f>SUM(E47:F50)</f>
        <v>1081855</v>
      </c>
      <c r="F46" s="27">
        <f>SUM(F47:F50)</f>
        <v>1081855</v>
      </c>
      <c r="G46" s="7">
        <f t="shared" si="5"/>
        <v>127.86146091252371</v>
      </c>
      <c r="H46" s="132"/>
      <c r="I46" s="68"/>
    </row>
    <row r="47" spans="1:10" s="91" customFormat="1" x14ac:dyDescent="0.25">
      <c r="A47" s="4"/>
      <c r="B47" s="97" t="s">
        <v>67</v>
      </c>
      <c r="C47" s="99"/>
      <c r="D47" s="99">
        <v>240821</v>
      </c>
      <c r="E47" s="98"/>
      <c r="F47" s="99">
        <v>476592</v>
      </c>
      <c r="G47" s="87">
        <f>F47/D47*100</f>
        <v>197.90300679757996</v>
      </c>
      <c r="H47" s="132"/>
      <c r="I47" s="68"/>
    </row>
    <row r="48" spans="1:10" s="91" customFormat="1" x14ac:dyDescent="0.25">
      <c r="A48" s="4"/>
      <c r="B48" s="97" t="s">
        <v>98</v>
      </c>
      <c r="C48" s="99"/>
      <c r="D48" s="99">
        <v>26000</v>
      </c>
      <c r="E48" s="98"/>
      <c r="F48" s="99">
        <v>205263</v>
      </c>
      <c r="G48" s="87">
        <f t="shared" ref="G48:G49" si="6">F48/D48*100</f>
        <v>789.47307692307686</v>
      </c>
      <c r="H48" s="132"/>
      <c r="I48" s="68"/>
    </row>
    <row r="49" spans="1:9" s="91" customFormat="1" x14ac:dyDescent="0.25">
      <c r="A49" s="4"/>
      <c r="B49" s="97" t="s">
        <v>68</v>
      </c>
      <c r="C49" s="99"/>
      <c r="D49" s="99">
        <f>542015+37279</f>
        <v>579294</v>
      </c>
      <c r="E49" s="98"/>
      <c r="F49" s="99"/>
      <c r="G49" s="87">
        <f t="shared" si="6"/>
        <v>0</v>
      </c>
      <c r="H49" s="132"/>
      <c r="I49" s="68"/>
    </row>
    <row r="50" spans="1:9" s="105" customFormat="1" x14ac:dyDescent="0.25">
      <c r="A50" s="4"/>
      <c r="B50" s="110" t="s">
        <v>72</v>
      </c>
      <c r="C50" s="111"/>
      <c r="D50" s="111"/>
      <c r="E50" s="112"/>
      <c r="F50" s="111">
        <v>400000</v>
      </c>
      <c r="G50" s="87"/>
      <c r="H50" s="132"/>
      <c r="I50" s="68"/>
    </row>
    <row r="51" spans="1:9" ht="15.75" customHeight="1" x14ac:dyDescent="0.25">
      <c r="A51" s="15">
        <v>8</v>
      </c>
      <c r="B51" s="29" t="s">
        <v>20</v>
      </c>
      <c r="C51" s="30">
        <f>SUM(C29,C32,C33,C43,C44,C45,C46)</f>
        <v>12026173</v>
      </c>
      <c r="D51" s="30">
        <f>SUM(D29:D33,D43:D46)</f>
        <v>4288688</v>
      </c>
      <c r="E51" s="30">
        <f>SUM(E29:E33,E43:E46)</f>
        <v>2642328</v>
      </c>
      <c r="F51" s="30">
        <f>SUM(F29:F33,F43:F46)</f>
        <v>4630030</v>
      </c>
      <c r="G51" s="31">
        <f>F51/D51*100</f>
        <v>107.95912409576076</v>
      </c>
      <c r="H51" s="130"/>
    </row>
    <row r="52" spans="1:9" s="19" customFormat="1" ht="14.25" x14ac:dyDescent="0.2">
      <c r="A52" s="15">
        <v>9</v>
      </c>
      <c r="B52" s="32" t="s">
        <v>16</v>
      </c>
      <c r="C52" s="33">
        <v>-467848</v>
      </c>
      <c r="D52" s="33">
        <v>-8083</v>
      </c>
      <c r="E52" s="72">
        <v>-6388</v>
      </c>
      <c r="F52" s="70">
        <v>-8240</v>
      </c>
      <c r="G52" s="20">
        <f t="shared" ref="G52" si="7">F52/D52*100</f>
        <v>101.94234813806756</v>
      </c>
      <c r="H52" s="133"/>
      <c r="I52" s="76"/>
    </row>
    <row r="53" spans="1:9" s="164" customFormat="1" ht="21" customHeight="1" thickBot="1" x14ac:dyDescent="0.3">
      <c r="A53" s="161">
        <v>10</v>
      </c>
      <c r="B53" s="62" t="s">
        <v>40</v>
      </c>
      <c r="C53" s="63">
        <f>SUM(C51:C52)</f>
        <v>11558325</v>
      </c>
      <c r="D53" s="63">
        <f>SUM(D51:D52)</f>
        <v>4280605</v>
      </c>
      <c r="E53" s="101">
        <f t="shared" ref="E53" si="8">SUM(E51:E52)</f>
        <v>2635940</v>
      </c>
      <c r="F53" s="63">
        <f>SUM(F51:F52)</f>
        <v>4621790</v>
      </c>
      <c r="G53" s="64">
        <f>F53/D53*100</f>
        <v>107.97048548044026</v>
      </c>
      <c r="H53" s="162"/>
      <c r="I53" s="163"/>
    </row>
    <row r="54" spans="1:9" ht="15.75" thickTop="1" x14ac:dyDescent="0.25">
      <c r="A54" s="1"/>
      <c r="H54" s="130"/>
    </row>
    <row r="55" spans="1:9" ht="16.5" thickBot="1" x14ac:dyDescent="0.3">
      <c r="A55" s="90" t="s">
        <v>50</v>
      </c>
      <c r="B55" s="22"/>
      <c r="G55" s="2" t="s">
        <v>0</v>
      </c>
      <c r="H55" s="130"/>
    </row>
    <row r="56" spans="1:9" s="23" customFormat="1" ht="33.75" customHeight="1" thickTop="1" thickBot="1" x14ac:dyDescent="0.25">
      <c r="A56" s="84" t="s">
        <v>1</v>
      </c>
      <c r="B56" s="34" t="s">
        <v>17</v>
      </c>
      <c r="C56" s="39" t="s">
        <v>102</v>
      </c>
      <c r="D56" s="39" t="s">
        <v>61</v>
      </c>
      <c r="E56" s="39" t="s">
        <v>45</v>
      </c>
      <c r="F56" s="100" t="s">
        <v>62</v>
      </c>
      <c r="G56" s="35" t="s">
        <v>2</v>
      </c>
      <c r="H56" s="128"/>
      <c r="I56" s="79"/>
    </row>
    <row r="57" spans="1:9" s="3" customFormat="1" ht="12.75" thickTop="1" thickBot="1" x14ac:dyDescent="0.25">
      <c r="A57" s="36">
        <v>1</v>
      </c>
      <c r="B57" s="37">
        <v>2</v>
      </c>
      <c r="C57" s="38">
        <v>3</v>
      </c>
      <c r="D57" s="38">
        <v>4</v>
      </c>
      <c r="E57" s="51">
        <v>4</v>
      </c>
      <c r="F57" s="69">
        <v>5</v>
      </c>
      <c r="G57" s="40" t="s">
        <v>109</v>
      </c>
      <c r="H57" s="129"/>
      <c r="I57" s="73"/>
    </row>
    <row r="58" spans="1:9" s="52" customFormat="1" ht="31.5" customHeight="1" thickTop="1" x14ac:dyDescent="0.2">
      <c r="A58" s="81">
        <v>1</v>
      </c>
      <c r="B58" s="55" t="s">
        <v>23</v>
      </c>
      <c r="C58" s="53">
        <v>818235</v>
      </c>
      <c r="D58" s="53">
        <f>SUM([1]odbory!$D$25)</f>
        <v>0</v>
      </c>
      <c r="E58" s="53">
        <v>0</v>
      </c>
      <c r="F58" s="92">
        <v>247878</v>
      </c>
      <c r="G58" s="59"/>
      <c r="H58" s="134"/>
      <c r="I58" s="77"/>
    </row>
    <row r="59" spans="1:9" s="52" customFormat="1" ht="17.25" customHeight="1" x14ac:dyDescent="0.2">
      <c r="A59" s="106">
        <v>2</v>
      </c>
      <c r="B59" s="107" t="s">
        <v>59</v>
      </c>
      <c r="C59" s="108">
        <v>36656</v>
      </c>
      <c r="D59" s="108">
        <f>219400+26000</f>
        <v>245400</v>
      </c>
      <c r="E59" s="108"/>
      <c r="F59" s="109">
        <v>72216</v>
      </c>
      <c r="G59" s="174">
        <f>F59/D59*100</f>
        <v>29.427872860635695</v>
      </c>
      <c r="H59" s="134"/>
      <c r="I59" s="77"/>
    </row>
    <row r="60" spans="1:9" s="52" customFormat="1" ht="17.25" customHeight="1" x14ac:dyDescent="0.2">
      <c r="A60" s="106">
        <v>3</v>
      </c>
      <c r="B60" s="107" t="s">
        <v>108</v>
      </c>
      <c r="C60" s="108">
        <v>347</v>
      </c>
      <c r="D60" s="108"/>
      <c r="E60" s="108"/>
      <c r="F60" s="109"/>
      <c r="G60" s="181"/>
      <c r="H60" s="134"/>
      <c r="I60" s="77"/>
    </row>
    <row r="61" spans="1:9" s="52" customFormat="1" ht="15" customHeight="1" x14ac:dyDescent="0.2">
      <c r="A61" s="85">
        <v>4</v>
      </c>
      <c r="B61" s="54" t="s">
        <v>22</v>
      </c>
      <c r="C61" s="96">
        <v>-237433</v>
      </c>
      <c r="D61" s="96">
        <v>-224587</v>
      </c>
      <c r="E61" s="96">
        <v>176968</v>
      </c>
      <c r="F61" s="203">
        <f>-'[9]Splátky úvěrů'!$F$15</f>
        <v>-253159</v>
      </c>
      <c r="G61" s="60">
        <f>F61/D61*100</f>
        <v>112.72201863865673</v>
      </c>
      <c r="H61" s="134"/>
      <c r="I61" s="66"/>
    </row>
    <row r="62" spans="1:9" s="58" customFormat="1" ht="20.100000000000001" customHeight="1" thickBot="1" x14ac:dyDescent="0.3">
      <c r="A62" s="82">
        <v>5</v>
      </c>
      <c r="B62" s="56" t="s">
        <v>24</v>
      </c>
      <c r="C62" s="57">
        <f>C58+C59+C60+C61</f>
        <v>617805</v>
      </c>
      <c r="D62" s="57">
        <f>D58+D61+D59</f>
        <v>20813</v>
      </c>
      <c r="E62" s="57">
        <f>SUM(E58:E58)</f>
        <v>0</v>
      </c>
      <c r="F62" s="63">
        <f>SUM(F58:F61)</f>
        <v>66935</v>
      </c>
      <c r="G62" s="61">
        <f>F62/D62*100</f>
        <v>321.60188343823569</v>
      </c>
      <c r="H62" s="135"/>
      <c r="I62" s="78"/>
    </row>
    <row r="63" spans="1:9" ht="15.75" thickTop="1" x14ac:dyDescent="0.25">
      <c r="G63" s="117"/>
      <c r="H63" s="136"/>
    </row>
    <row r="64" spans="1:9" s="158" customFormat="1" ht="16.5" hidden="1" thickBot="1" x14ac:dyDescent="0.3">
      <c r="A64" s="153"/>
      <c r="B64" s="165" t="s">
        <v>69</v>
      </c>
      <c r="C64" s="154"/>
      <c r="D64" s="154"/>
      <c r="E64" s="154"/>
      <c r="F64" s="205">
        <f>F71</f>
        <v>0</v>
      </c>
      <c r="G64" s="155"/>
      <c r="H64" s="156"/>
      <c r="I64" s="157"/>
    </row>
    <row r="65" spans="1:9" s="168" customFormat="1" ht="15.75" x14ac:dyDescent="0.25">
      <c r="A65" s="166"/>
      <c r="B65" s="167"/>
      <c r="F65" s="206"/>
      <c r="G65" s="169"/>
      <c r="H65" s="169"/>
      <c r="I65" s="170"/>
    </row>
    <row r="66" spans="1:9" s="172" customFormat="1" x14ac:dyDescent="0.25">
      <c r="F66" s="207"/>
      <c r="H66" s="118"/>
      <c r="I66" s="171"/>
    </row>
    <row r="67" spans="1:9" x14ac:dyDescent="0.25">
      <c r="A67" s="1"/>
      <c r="H67" s="117"/>
      <c r="I67" s="1"/>
    </row>
    <row r="68" spans="1:9" x14ac:dyDescent="0.25">
      <c r="A68" s="1"/>
    </row>
    <row r="69" spans="1:9" ht="15.75" x14ac:dyDescent="0.25">
      <c r="B69" s="115" t="s">
        <v>51</v>
      </c>
      <c r="C69" s="116">
        <f>SUM(C24,C58:D59)</f>
        <v>12648923</v>
      </c>
      <c r="D69" s="116">
        <f>SUM(D24,D58:E59)</f>
        <v>4505192</v>
      </c>
      <c r="E69" s="116" t="e">
        <f>SUM(E24,E58,#REF!)</f>
        <v>#REF!</v>
      </c>
      <c r="F69" s="116">
        <f>SUM(F24,F58:F59)</f>
        <v>4874949.0000000009</v>
      </c>
    </row>
    <row r="70" spans="1:9" ht="15.75" x14ac:dyDescent="0.25">
      <c r="B70" s="115" t="s">
        <v>52</v>
      </c>
      <c r="C70" s="116">
        <f>SUM(C53-C61)</f>
        <v>11795758</v>
      </c>
      <c r="D70" s="116">
        <f>SUM(D53-D61)</f>
        <v>4505192</v>
      </c>
      <c r="E70" s="116">
        <f>SUM(E53-E61)</f>
        <v>2458972</v>
      </c>
      <c r="F70" s="116">
        <f>SUM(F53-F61)</f>
        <v>4874949</v>
      </c>
    </row>
    <row r="71" spans="1:9" ht="15.75" x14ac:dyDescent="0.25">
      <c r="B71" s="115" t="s">
        <v>53</v>
      </c>
      <c r="C71" s="116">
        <f>C70-C69</f>
        <v>-853165</v>
      </c>
      <c r="D71" s="116">
        <f>D70-D69</f>
        <v>0</v>
      </c>
      <c r="E71" s="116" t="e">
        <f t="shared" ref="E71" si="9">E70-E69</f>
        <v>#REF!</v>
      </c>
      <c r="F71" s="116">
        <f>F69-F70</f>
        <v>0</v>
      </c>
    </row>
    <row r="72" spans="1:9" x14ac:dyDescent="0.25">
      <c r="B72" s="118"/>
      <c r="C72" s="119"/>
      <c r="D72" s="119"/>
      <c r="E72" s="119"/>
      <c r="F72" s="114"/>
    </row>
  </sheetData>
  <pageMargins left="0.70866141732283472" right="0.70866141732283472" top="0.78740157480314965" bottom="0.78740157480314965" header="0.31496062992125984" footer="0.31496062992125984"/>
  <pageSetup paperSize="9" scale="65" firstPageNumber="8" orientation="portrait" useFirstPageNumber="1" r:id="rId1"/>
  <headerFooter>
    <oddFooter>&amp;L&amp;"Arial,Kurzíva"Zastupitelstvo Olomouckého kraje 19-12-2016
6. - Rozpočet Olomouckého kraje 2017 - návrh rozpočtu
Příloha č. 1 - Bilance příjmů, výdajů a financování Olomouckého kraje&amp;R&amp;"Arial,Kurzíva"Strana &amp;P (celkem 137)</oddFooter>
  </headerFooter>
  <rowBreaks count="1" manualBreakCount="1"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2016-11-30T08:51:02Z</cp:lastPrinted>
  <dcterms:created xsi:type="dcterms:W3CDTF">2012-11-29T09:19:31Z</dcterms:created>
  <dcterms:modified xsi:type="dcterms:W3CDTF">2016-11-30T08:51:04Z</dcterms:modified>
</cp:coreProperties>
</file>