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2045" tabRatio="902"/>
  </bookViews>
  <sheets>
    <sheet name="Sumář celkem" sheetId="11" r:id="rId1"/>
    <sheet name="ORJ - 10" sheetId="31" r:id="rId2"/>
    <sheet name="ORJ - 10 - Olomouc" sheetId="32" r:id="rId3"/>
    <sheet name="ORJ - 10 - Šumperk" sheetId="33" r:id="rId4"/>
    <sheet name="ORJ - 10 - Přerov" sheetId="34" r:id="rId5"/>
    <sheet name="ORJ - 10 - Prostějov" sheetId="35" r:id="rId6"/>
    <sheet name="ORJ - 10 - Jeseník" sheetId="36" r:id="rId7"/>
    <sheet name="Celkem ORJ - 11" sheetId="7" r:id="rId8"/>
    <sheet name="PO - sociálníci" sheetId="6" r:id="rId9"/>
    <sheet name="Celkem ORJ -12" sheetId="30" r:id="rId10"/>
    <sheet name="PO - doprava" sheetId="29" r:id="rId11"/>
    <sheet name="Celkem ORJ 13" sheetId="5" r:id="rId12"/>
    <sheet name="PO - kultura" sheetId="4" r:id="rId13"/>
    <sheet name="Celkem ORJ - 14" sheetId="8" r:id="rId14"/>
    <sheet name="PO - zdravotnictví" sheetId="10" r:id="rId15"/>
    <sheet name="ORJ " sheetId="37" state="hidden" r:id="rId16"/>
    <sheet name="Souhrn" sheetId="20" state="hidden" r:id="rId17"/>
  </sheets>
  <definedNames>
    <definedName name="_xlnm.Print_Titles" localSheetId="2">'ORJ - 10 - Olomouc'!$1:$13</definedName>
    <definedName name="_xlnm.Print_Titles" localSheetId="5">'ORJ - 10 - Prostějov'!$1:$14</definedName>
    <definedName name="_xlnm.Print_Titles" localSheetId="4">'ORJ - 10 - Přerov'!$1:$13</definedName>
    <definedName name="_xlnm.Print_Titles" localSheetId="3">'ORJ - 10 - Šumperk'!$1:$13</definedName>
    <definedName name="_xlnm.Print_Area" localSheetId="13">'Celkem ORJ - 14'!$A$1:$Q$48</definedName>
    <definedName name="_xlnm.Print_Area" localSheetId="11">'Celkem ORJ 13'!$B$1:$Q$55</definedName>
    <definedName name="_xlnm.Print_Area" localSheetId="15">'ORJ '!$A$1:$N$1</definedName>
    <definedName name="_xlnm.Print_Area" localSheetId="1">'ORJ - 10'!$A$1:$Q$57</definedName>
    <definedName name="_xlnm.Print_Area" localSheetId="6">'ORJ - 10 - Jeseník'!$A$1:$AD$53</definedName>
  </definedNames>
  <calcPr calcId="145621"/>
</workbook>
</file>

<file path=xl/calcChain.xml><?xml version="1.0" encoding="utf-8"?>
<calcChain xmlns="http://schemas.openxmlformats.org/spreadsheetml/2006/main">
  <c r="Q20" i="31" l="1"/>
  <c r="P20" i="31"/>
  <c r="O20" i="31"/>
  <c r="Q19" i="31"/>
  <c r="P19" i="31"/>
  <c r="O19" i="31"/>
  <c r="Q18" i="31"/>
  <c r="P18" i="31"/>
  <c r="O18" i="31"/>
  <c r="Q17" i="31"/>
  <c r="P17" i="31"/>
  <c r="O17" i="31"/>
  <c r="Q16" i="31"/>
  <c r="P16" i="31"/>
  <c r="O16" i="31"/>
  <c r="Q15" i="31"/>
  <c r="P15" i="31"/>
  <c r="O15" i="31"/>
  <c r="Q14" i="31"/>
  <c r="P14" i="31"/>
  <c r="O14" i="31"/>
  <c r="Q13" i="31"/>
  <c r="P13" i="31"/>
  <c r="O13" i="31"/>
  <c r="Q12" i="31"/>
  <c r="P12" i="31"/>
  <c r="O12" i="31"/>
  <c r="Q11" i="31"/>
  <c r="P11" i="31"/>
  <c r="O11" i="31"/>
  <c r="O10" i="31"/>
  <c r="Q10" i="31"/>
  <c r="P10" i="31"/>
  <c r="Q20" i="8" l="1"/>
  <c r="P20" i="8"/>
  <c r="O20" i="8"/>
  <c r="Q19" i="8"/>
  <c r="P19" i="8"/>
  <c r="O19" i="8"/>
  <c r="Q18" i="8"/>
  <c r="P18" i="8"/>
  <c r="O18" i="8"/>
  <c r="Q17" i="8"/>
  <c r="P17" i="8"/>
  <c r="O17" i="8"/>
  <c r="Q16" i="8"/>
  <c r="P16" i="8"/>
  <c r="O16" i="8"/>
  <c r="Q15" i="8"/>
  <c r="P15" i="8"/>
  <c r="O15" i="8"/>
  <c r="Q14" i="8"/>
  <c r="P14" i="8"/>
  <c r="O14" i="8"/>
  <c r="Q13" i="8"/>
  <c r="P13" i="8"/>
  <c r="O13" i="8"/>
  <c r="Q12" i="8"/>
  <c r="P12" i="8"/>
  <c r="O12" i="8"/>
  <c r="Q11" i="8"/>
  <c r="P11" i="8"/>
  <c r="O11" i="8"/>
  <c r="O10" i="8"/>
  <c r="Q10" i="8"/>
  <c r="P10" i="8"/>
  <c r="Q24" i="5"/>
  <c r="P24" i="5"/>
  <c r="O24" i="5"/>
  <c r="Q23" i="5"/>
  <c r="P23" i="5"/>
  <c r="O23" i="5"/>
  <c r="Q22" i="5"/>
  <c r="P22" i="5"/>
  <c r="O22" i="5"/>
  <c r="Q21" i="5"/>
  <c r="P21" i="5"/>
  <c r="O21" i="5"/>
  <c r="Q20" i="5"/>
  <c r="P20" i="5"/>
  <c r="O20" i="5"/>
  <c r="Q19" i="5"/>
  <c r="P19" i="5"/>
  <c r="O19" i="5"/>
  <c r="Q18" i="5"/>
  <c r="P18" i="5"/>
  <c r="O18" i="5"/>
  <c r="Q17" i="5"/>
  <c r="P17" i="5"/>
  <c r="O17" i="5"/>
  <c r="Q16" i="5"/>
  <c r="P16" i="5"/>
  <c r="O16" i="5"/>
  <c r="Q15" i="5"/>
  <c r="P15" i="5"/>
  <c r="O15" i="5"/>
  <c r="Q14" i="5"/>
  <c r="P14" i="5"/>
  <c r="O14" i="5"/>
  <c r="Q13" i="5"/>
  <c r="P13" i="5"/>
  <c r="O13" i="5"/>
  <c r="Q11" i="5"/>
  <c r="P11" i="5"/>
  <c r="O11" i="5"/>
  <c r="AD17" i="29"/>
  <c r="AC17" i="29"/>
  <c r="AB17" i="29"/>
  <c r="AA17" i="29"/>
  <c r="Z17" i="29"/>
  <c r="AD16" i="29"/>
  <c r="AC16" i="29"/>
  <c r="AB16" i="29"/>
  <c r="AA16" i="29"/>
  <c r="Z16" i="29"/>
  <c r="AD15" i="29"/>
  <c r="AC15" i="29"/>
  <c r="AB15" i="29"/>
  <c r="AA15" i="29"/>
  <c r="Z15" i="29"/>
  <c r="AD14" i="29"/>
  <c r="AC14" i="29"/>
  <c r="AB14" i="29"/>
  <c r="AA14" i="29"/>
  <c r="Z14" i="29"/>
  <c r="Z13" i="29"/>
  <c r="AD13" i="29"/>
  <c r="AC13" i="29"/>
  <c r="AB13" i="29"/>
  <c r="AA13" i="29"/>
  <c r="Q14" i="30"/>
  <c r="P14" i="30"/>
  <c r="O14" i="30"/>
  <c r="Q13" i="30"/>
  <c r="P13" i="30"/>
  <c r="O13" i="30"/>
  <c r="Q12" i="30"/>
  <c r="P12" i="30"/>
  <c r="O12" i="30"/>
  <c r="O11" i="30"/>
  <c r="Q11" i="30"/>
  <c r="P11" i="30"/>
  <c r="M11" i="30"/>
  <c r="L11" i="30" s="1"/>
  <c r="O22" i="31" l="1"/>
  <c r="O10" i="7"/>
  <c r="Q16" i="7"/>
  <c r="P16" i="7"/>
  <c r="O16" i="7"/>
  <c r="Q15" i="7"/>
  <c r="P15" i="7"/>
  <c r="O15" i="7"/>
  <c r="Q14" i="7"/>
  <c r="P14" i="7"/>
  <c r="O14" i="7"/>
  <c r="Q13" i="7"/>
  <c r="P13" i="7"/>
  <c r="O13" i="7"/>
  <c r="Q12" i="7"/>
  <c r="P12" i="7"/>
  <c r="O12" i="7"/>
  <c r="Q10" i="7"/>
  <c r="P10" i="7"/>
  <c r="AD51" i="36"/>
  <c r="AC51" i="36"/>
  <c r="AB51" i="36"/>
  <c r="AA51" i="36"/>
  <c r="Z51" i="36"/>
  <c r="AD50" i="36"/>
  <c r="AC50" i="36"/>
  <c r="AB50" i="36"/>
  <c r="AA50" i="36"/>
  <c r="Z50" i="36"/>
  <c r="AD49" i="36"/>
  <c r="AC49" i="36"/>
  <c r="AB49" i="36"/>
  <c r="AA49" i="36"/>
  <c r="Z49" i="36"/>
  <c r="AD48" i="36"/>
  <c r="AC48" i="36"/>
  <c r="AB48" i="36"/>
  <c r="AA48" i="36"/>
  <c r="Z48" i="36"/>
  <c r="AD47" i="36"/>
  <c r="AC47" i="36"/>
  <c r="AB47" i="36"/>
  <c r="AA47" i="36"/>
  <c r="Z47" i="36"/>
  <c r="AD46" i="36"/>
  <c r="AC46" i="36"/>
  <c r="AB46" i="36"/>
  <c r="AA46" i="36"/>
  <c r="Z46" i="36"/>
  <c r="AD45" i="36"/>
  <c r="AC45" i="36"/>
  <c r="AB45" i="36"/>
  <c r="AA45" i="36"/>
  <c r="Z45" i="36"/>
  <c r="AD44" i="36"/>
  <c r="AC44" i="36"/>
  <c r="AB44" i="36"/>
  <c r="AA44" i="36"/>
  <c r="Z44" i="36"/>
  <c r="AD43" i="36"/>
  <c r="AC43" i="36"/>
  <c r="AB43" i="36"/>
  <c r="AA43" i="36"/>
  <c r="Z43" i="36"/>
  <c r="AD42" i="36"/>
  <c r="AC42" i="36"/>
  <c r="AB42" i="36"/>
  <c r="AA42" i="36"/>
  <c r="Z42" i="36"/>
  <c r="AD41" i="36"/>
  <c r="AC41" i="36"/>
  <c r="AB41" i="36"/>
  <c r="AA41" i="36"/>
  <c r="Z41" i="36"/>
  <c r="AD40" i="36"/>
  <c r="AC40" i="36"/>
  <c r="AB40" i="36"/>
  <c r="AA40" i="36"/>
  <c r="Z40" i="36"/>
  <c r="AD39" i="36"/>
  <c r="AC39" i="36"/>
  <c r="AB39" i="36"/>
  <c r="AA39" i="36"/>
  <c r="Z39" i="36"/>
  <c r="AD38" i="36"/>
  <c r="AC38" i="36"/>
  <c r="AB38" i="36"/>
  <c r="AA38" i="36"/>
  <c r="Z38" i="36"/>
  <c r="AD37" i="36"/>
  <c r="AC37" i="36"/>
  <c r="AB37" i="36"/>
  <c r="AA37" i="36"/>
  <c r="Z37" i="36"/>
  <c r="AD36" i="36"/>
  <c r="AC36" i="36"/>
  <c r="AB36" i="36"/>
  <c r="AA36" i="36"/>
  <c r="Z36" i="36"/>
  <c r="AD35" i="36"/>
  <c r="AC35" i="36"/>
  <c r="AB35" i="36"/>
  <c r="AA35" i="36"/>
  <c r="Z35" i="36"/>
  <c r="AD34" i="36"/>
  <c r="AC34" i="36"/>
  <c r="AB34" i="36"/>
  <c r="AA34" i="36"/>
  <c r="Z34" i="36"/>
  <c r="AD33" i="36"/>
  <c r="AC33" i="36"/>
  <c r="AB33" i="36"/>
  <c r="AA33" i="36"/>
  <c r="Z33" i="36"/>
  <c r="AD32" i="36"/>
  <c r="AC32" i="36"/>
  <c r="AB32" i="36"/>
  <c r="AA32" i="36"/>
  <c r="Z32" i="36"/>
  <c r="AD31" i="36"/>
  <c r="AC31" i="36"/>
  <c r="AB31" i="36"/>
  <c r="AA31" i="36"/>
  <c r="Z31" i="36"/>
  <c r="AD30" i="36"/>
  <c r="AC30" i="36"/>
  <c r="AB30" i="36"/>
  <c r="AA30" i="36"/>
  <c r="Z30" i="36"/>
  <c r="AD29" i="36"/>
  <c r="AC29" i="36"/>
  <c r="AB29" i="36"/>
  <c r="AA29" i="36"/>
  <c r="Z29" i="36"/>
  <c r="AD28" i="36"/>
  <c r="AC28" i="36"/>
  <c r="AB28" i="36"/>
  <c r="AA28" i="36"/>
  <c r="Z28" i="36"/>
  <c r="AD27" i="36"/>
  <c r="AC27" i="36"/>
  <c r="AB27" i="36"/>
  <c r="AA27" i="36"/>
  <c r="Z27" i="36"/>
  <c r="AD26" i="36"/>
  <c r="AC26" i="36"/>
  <c r="AB26" i="36"/>
  <c r="AA26" i="36"/>
  <c r="Z26" i="36"/>
  <c r="AD25" i="36"/>
  <c r="AC25" i="36"/>
  <c r="AB25" i="36"/>
  <c r="AA25" i="36"/>
  <c r="Z25" i="36"/>
  <c r="AD24" i="36"/>
  <c r="AC24" i="36"/>
  <c r="AB24" i="36"/>
  <c r="AA24" i="36"/>
  <c r="Z24" i="36"/>
  <c r="AD23" i="36"/>
  <c r="AC23" i="36"/>
  <c r="AB23" i="36"/>
  <c r="AA23" i="36"/>
  <c r="Z23" i="36"/>
  <c r="AD22" i="36"/>
  <c r="AC22" i="36"/>
  <c r="AB22" i="36"/>
  <c r="AA22" i="36"/>
  <c r="Z22" i="36"/>
  <c r="AD21" i="36"/>
  <c r="AC21" i="36"/>
  <c r="AB21" i="36"/>
  <c r="AA21" i="36"/>
  <c r="Z21" i="36"/>
  <c r="AD20" i="36"/>
  <c r="AC20" i="36"/>
  <c r="AB20" i="36"/>
  <c r="AA20" i="36"/>
  <c r="Z20" i="36"/>
  <c r="AD19" i="36"/>
  <c r="AC19" i="36"/>
  <c r="AB19" i="36"/>
  <c r="AA19" i="36"/>
  <c r="Z19" i="36"/>
  <c r="AD18" i="36"/>
  <c r="AC18" i="36"/>
  <c r="AB18" i="36"/>
  <c r="AA18" i="36"/>
  <c r="Z18" i="36"/>
  <c r="AD17" i="36"/>
  <c r="AC17" i="36"/>
  <c r="AB17" i="36"/>
  <c r="AA17" i="36"/>
  <c r="Z17" i="36"/>
  <c r="AD16" i="36"/>
  <c r="AC16" i="36"/>
  <c r="AB16" i="36"/>
  <c r="AA16" i="36"/>
  <c r="Z16" i="36"/>
  <c r="AD15" i="36"/>
  <c r="AC15" i="36"/>
  <c r="AB15" i="36"/>
  <c r="AA15" i="36"/>
  <c r="Z15" i="36"/>
  <c r="AD14" i="36"/>
  <c r="AC14" i="36"/>
  <c r="AB14" i="36"/>
  <c r="AA14" i="36"/>
  <c r="Z14" i="36"/>
  <c r="AD58" i="35"/>
  <c r="AC58" i="35"/>
  <c r="AB58" i="35"/>
  <c r="AA58" i="35"/>
  <c r="Z58" i="35"/>
  <c r="AD57" i="35"/>
  <c r="AC57" i="35"/>
  <c r="AB57" i="35"/>
  <c r="AA57" i="35"/>
  <c r="Z57" i="35"/>
  <c r="AD56" i="35"/>
  <c r="AC56" i="35"/>
  <c r="AB56" i="35"/>
  <c r="AA56" i="35"/>
  <c r="Z56" i="35"/>
  <c r="AD55" i="35"/>
  <c r="AC55" i="35"/>
  <c r="AB55" i="35"/>
  <c r="AA55" i="35"/>
  <c r="Z55" i="35"/>
  <c r="AD54" i="35"/>
  <c r="AC54" i="35"/>
  <c r="AB54" i="35"/>
  <c r="AA54" i="35"/>
  <c r="Z54" i="35"/>
  <c r="AD53" i="35"/>
  <c r="AC53" i="35"/>
  <c r="AB53" i="35"/>
  <c r="AA53" i="35"/>
  <c r="Z53" i="35"/>
  <c r="AD52" i="35"/>
  <c r="AC52" i="35"/>
  <c r="AB52" i="35"/>
  <c r="AA52" i="35"/>
  <c r="Z52" i="35"/>
  <c r="AD51" i="35"/>
  <c r="AC51" i="35"/>
  <c r="AB51" i="35"/>
  <c r="AA51" i="35"/>
  <c r="Z51" i="35"/>
  <c r="AD50" i="35"/>
  <c r="AC50" i="35"/>
  <c r="AB50" i="35"/>
  <c r="AA50" i="35"/>
  <c r="Z50" i="35"/>
  <c r="AD49" i="35"/>
  <c r="AC49" i="35"/>
  <c r="AB49" i="35"/>
  <c r="AA49" i="35"/>
  <c r="Z49" i="35"/>
  <c r="AD48" i="35"/>
  <c r="AC48" i="35"/>
  <c r="AB48" i="35"/>
  <c r="AA48" i="35"/>
  <c r="Z48" i="35"/>
  <c r="AD47" i="35"/>
  <c r="AC47" i="35"/>
  <c r="AB47" i="35"/>
  <c r="AA47" i="35"/>
  <c r="Z47" i="35"/>
  <c r="AD46" i="35"/>
  <c r="AC46" i="35"/>
  <c r="AB46" i="35"/>
  <c r="AA46" i="35"/>
  <c r="Z46" i="35"/>
  <c r="AD45" i="35"/>
  <c r="AC45" i="35"/>
  <c r="AB45" i="35"/>
  <c r="AA45" i="35"/>
  <c r="Z45" i="35"/>
  <c r="AD44" i="35"/>
  <c r="AC44" i="35"/>
  <c r="AB44" i="35"/>
  <c r="AA44" i="35"/>
  <c r="Z44" i="35"/>
  <c r="AD43" i="35"/>
  <c r="AC43" i="35"/>
  <c r="AB43" i="35"/>
  <c r="AA43" i="35"/>
  <c r="Z43" i="35"/>
  <c r="AD42" i="35"/>
  <c r="AC42" i="35"/>
  <c r="AB42" i="35"/>
  <c r="AA42" i="35"/>
  <c r="Z42" i="35"/>
  <c r="AD41" i="35"/>
  <c r="AC41" i="35"/>
  <c r="AB41" i="35"/>
  <c r="AA41" i="35"/>
  <c r="Z41" i="35"/>
  <c r="AD40" i="35"/>
  <c r="AC40" i="35"/>
  <c r="AB40" i="35"/>
  <c r="AA40" i="35"/>
  <c r="Z40" i="35"/>
  <c r="AD39" i="35"/>
  <c r="AC39" i="35"/>
  <c r="AB39" i="35"/>
  <c r="AA39" i="35"/>
  <c r="Z39" i="35"/>
  <c r="AD38" i="35"/>
  <c r="AC38" i="35"/>
  <c r="AB38" i="35"/>
  <c r="AA38" i="35"/>
  <c r="Z38" i="35"/>
  <c r="AD37" i="35"/>
  <c r="AC37" i="35"/>
  <c r="AB37" i="35"/>
  <c r="AA37" i="35"/>
  <c r="Z37" i="35"/>
  <c r="AD36" i="35"/>
  <c r="AC36" i="35"/>
  <c r="AB36" i="35"/>
  <c r="AA36" i="35"/>
  <c r="Z36" i="35"/>
  <c r="AD35" i="35"/>
  <c r="AC35" i="35"/>
  <c r="AB35" i="35"/>
  <c r="AA35" i="35"/>
  <c r="Z35" i="35"/>
  <c r="AD34" i="35"/>
  <c r="AC34" i="35"/>
  <c r="AB34" i="35"/>
  <c r="AA34" i="35"/>
  <c r="Z34" i="35"/>
  <c r="AD33" i="35"/>
  <c r="AC33" i="35"/>
  <c r="AB33" i="35"/>
  <c r="AA33" i="35"/>
  <c r="Z33" i="35"/>
  <c r="AD32" i="35"/>
  <c r="AC32" i="35"/>
  <c r="AB32" i="35"/>
  <c r="AA32" i="35"/>
  <c r="Z32" i="35"/>
  <c r="AD31" i="35"/>
  <c r="AC31" i="35"/>
  <c r="AB31" i="35"/>
  <c r="AA31" i="35"/>
  <c r="Z31" i="35"/>
  <c r="AD30" i="35"/>
  <c r="AC30" i="35"/>
  <c r="AB30" i="35"/>
  <c r="AA30" i="35"/>
  <c r="Z30" i="35"/>
  <c r="AD29" i="35"/>
  <c r="AC29" i="35"/>
  <c r="AB29" i="35"/>
  <c r="AA29" i="35"/>
  <c r="Z29" i="35"/>
  <c r="AD28" i="35"/>
  <c r="AC28" i="35"/>
  <c r="AB28" i="35"/>
  <c r="AA28" i="35"/>
  <c r="Z28" i="35"/>
  <c r="AD27" i="35"/>
  <c r="AC27" i="35"/>
  <c r="AB27" i="35"/>
  <c r="AA27" i="35"/>
  <c r="Z27" i="35"/>
  <c r="AD26" i="35"/>
  <c r="AC26" i="35"/>
  <c r="AB26" i="35"/>
  <c r="AA26" i="35"/>
  <c r="Z26" i="35"/>
  <c r="AD25" i="35"/>
  <c r="AC25" i="35"/>
  <c r="AB25" i="35"/>
  <c r="AA25" i="35"/>
  <c r="Z25" i="35"/>
  <c r="AD24" i="35"/>
  <c r="AC24" i="35"/>
  <c r="AB24" i="35"/>
  <c r="AA24" i="35"/>
  <c r="Z24" i="35"/>
  <c r="AD23" i="35"/>
  <c r="AC23" i="35"/>
  <c r="AB23" i="35"/>
  <c r="AA23" i="35"/>
  <c r="Z23" i="35"/>
  <c r="AD22" i="35"/>
  <c r="AC22" i="35"/>
  <c r="AB22" i="35"/>
  <c r="AA22" i="35"/>
  <c r="Z22" i="35"/>
  <c r="AD21" i="35"/>
  <c r="AC21" i="35"/>
  <c r="AB21" i="35"/>
  <c r="AA21" i="35"/>
  <c r="Z21" i="35"/>
  <c r="AD20" i="35"/>
  <c r="AC20" i="35"/>
  <c r="AB20" i="35"/>
  <c r="AA20" i="35"/>
  <c r="Z20" i="35"/>
  <c r="AD19" i="35"/>
  <c r="AC19" i="35"/>
  <c r="AB19" i="35"/>
  <c r="AA19" i="35"/>
  <c r="Z19" i="35"/>
  <c r="AD18" i="35"/>
  <c r="AC18" i="35"/>
  <c r="AB18" i="35"/>
  <c r="AA18" i="35"/>
  <c r="Z18" i="35"/>
  <c r="AD17" i="35"/>
  <c r="AC17" i="35"/>
  <c r="AB17" i="35"/>
  <c r="AA17" i="35"/>
  <c r="Z17" i="35"/>
  <c r="AD16" i="35"/>
  <c r="AC16" i="35"/>
  <c r="AB16" i="35"/>
  <c r="AA16" i="35"/>
  <c r="Z16" i="35"/>
  <c r="AD15" i="35"/>
  <c r="AC15" i="35"/>
  <c r="AB15" i="35"/>
  <c r="AA15" i="35"/>
  <c r="Z15" i="35"/>
  <c r="AD101" i="34"/>
  <c r="AC101" i="34"/>
  <c r="AB101" i="34"/>
  <c r="AA101" i="34"/>
  <c r="Z101" i="34"/>
  <c r="AD100" i="34"/>
  <c r="AC100" i="34"/>
  <c r="AB100" i="34"/>
  <c r="AA100" i="34"/>
  <c r="Z100" i="34"/>
  <c r="AD99" i="34"/>
  <c r="AC99" i="34"/>
  <c r="AB99" i="34"/>
  <c r="AA99" i="34"/>
  <c r="Z99" i="34"/>
  <c r="AD98" i="34"/>
  <c r="AC98" i="34"/>
  <c r="AB98" i="34"/>
  <c r="AA98" i="34"/>
  <c r="Z98" i="34"/>
  <c r="AD97" i="34"/>
  <c r="AC97" i="34"/>
  <c r="AB97" i="34"/>
  <c r="AA97" i="34"/>
  <c r="Z97" i="34"/>
  <c r="AD96" i="34"/>
  <c r="AC96" i="34"/>
  <c r="AB96" i="34"/>
  <c r="AA96" i="34"/>
  <c r="Z96" i="34"/>
  <c r="AD95" i="34"/>
  <c r="AC95" i="34"/>
  <c r="AB95" i="34"/>
  <c r="AA95" i="34"/>
  <c r="Z95" i="34"/>
  <c r="AD94" i="34"/>
  <c r="AC94" i="34"/>
  <c r="AB94" i="34"/>
  <c r="AA94" i="34"/>
  <c r="Z94" i="34"/>
  <c r="AD93" i="34"/>
  <c r="AC93" i="34"/>
  <c r="AB93" i="34"/>
  <c r="AA93" i="34"/>
  <c r="Z93" i="34"/>
  <c r="AD92" i="34"/>
  <c r="AC92" i="34"/>
  <c r="AB92" i="34"/>
  <c r="AA92" i="34"/>
  <c r="Z92" i="34"/>
  <c r="AD91" i="34"/>
  <c r="AC91" i="34"/>
  <c r="AB91" i="34"/>
  <c r="AA91" i="34"/>
  <c r="Z91" i="34"/>
  <c r="AD90" i="34"/>
  <c r="AC90" i="34"/>
  <c r="AB90" i="34"/>
  <c r="AA90" i="34"/>
  <c r="Z90" i="34"/>
  <c r="AD89" i="34"/>
  <c r="AC89" i="34"/>
  <c r="AB89" i="34"/>
  <c r="AA89" i="34"/>
  <c r="Z89" i="34"/>
  <c r="AD88" i="34"/>
  <c r="AC88" i="34"/>
  <c r="AB88" i="34"/>
  <c r="AA88" i="34"/>
  <c r="Z88" i="34"/>
  <c r="AD87" i="34"/>
  <c r="AC87" i="34"/>
  <c r="AB87" i="34"/>
  <c r="AA87" i="34"/>
  <c r="Z87" i="34"/>
  <c r="AD86" i="34"/>
  <c r="AC86" i="34"/>
  <c r="AB86" i="34"/>
  <c r="AA86" i="34"/>
  <c r="Z86" i="34"/>
  <c r="AD85" i="34"/>
  <c r="AC85" i="34"/>
  <c r="AB85" i="34"/>
  <c r="AA85" i="34"/>
  <c r="Z85" i="34"/>
  <c r="AD84" i="34"/>
  <c r="AC84" i="34"/>
  <c r="AB84" i="34"/>
  <c r="AA84" i="34"/>
  <c r="Z84" i="34"/>
  <c r="AD83" i="34"/>
  <c r="AC83" i="34"/>
  <c r="AB83" i="34"/>
  <c r="AA83" i="34"/>
  <c r="Z83" i="34"/>
  <c r="AD82" i="34"/>
  <c r="AC82" i="34"/>
  <c r="AB82" i="34"/>
  <c r="AA82" i="34"/>
  <c r="Z82" i="34"/>
  <c r="AD81" i="34"/>
  <c r="AC81" i="34"/>
  <c r="AB81" i="34"/>
  <c r="AA81" i="34"/>
  <c r="Z81" i="34"/>
  <c r="AD80" i="34"/>
  <c r="AC80" i="34"/>
  <c r="AB80" i="34"/>
  <c r="AA80" i="34"/>
  <c r="Z80" i="34"/>
  <c r="AD79" i="34"/>
  <c r="AC79" i="34"/>
  <c r="AB79" i="34"/>
  <c r="AA79" i="34"/>
  <c r="Z79" i="34"/>
  <c r="AD78" i="34"/>
  <c r="AC78" i="34"/>
  <c r="AB78" i="34"/>
  <c r="AA78" i="34"/>
  <c r="Z78" i="34"/>
  <c r="AD77" i="34"/>
  <c r="AC77" i="34"/>
  <c r="AB77" i="34"/>
  <c r="AA77" i="34"/>
  <c r="Z77" i="34"/>
  <c r="AD76" i="34"/>
  <c r="AC76" i="34"/>
  <c r="AB76" i="34"/>
  <c r="AA76" i="34"/>
  <c r="Z76" i="34"/>
  <c r="AD75" i="34"/>
  <c r="AC75" i="34"/>
  <c r="AB75" i="34"/>
  <c r="AA75" i="34"/>
  <c r="Z75" i="34"/>
  <c r="AD74" i="34"/>
  <c r="AC74" i="34"/>
  <c r="AB74" i="34"/>
  <c r="AA74" i="34"/>
  <c r="Z74" i="34"/>
  <c r="AD73" i="34"/>
  <c r="AC73" i="34"/>
  <c r="AB73" i="34"/>
  <c r="AA73" i="34"/>
  <c r="Z73" i="34"/>
  <c r="AD72" i="34"/>
  <c r="AC72" i="34"/>
  <c r="AB72" i="34"/>
  <c r="AA72" i="34"/>
  <c r="Z72" i="34"/>
  <c r="AD71" i="34"/>
  <c r="AC71" i="34"/>
  <c r="AB71" i="34"/>
  <c r="AA71" i="34"/>
  <c r="Z71" i="34"/>
  <c r="AD70" i="34"/>
  <c r="AC70" i="34"/>
  <c r="AB70" i="34"/>
  <c r="AA70" i="34"/>
  <c r="Z70" i="34"/>
  <c r="AD69" i="34"/>
  <c r="AC69" i="34"/>
  <c r="AB69" i="34"/>
  <c r="AA69" i="34"/>
  <c r="Z69" i="34"/>
  <c r="AD68" i="34"/>
  <c r="AC68" i="34"/>
  <c r="AB68" i="34"/>
  <c r="AA68" i="34"/>
  <c r="Z68" i="34"/>
  <c r="AD67" i="34"/>
  <c r="AC67" i="34"/>
  <c r="AB67" i="34"/>
  <c r="AA67" i="34"/>
  <c r="Z67" i="34"/>
  <c r="AD66" i="34"/>
  <c r="AC66" i="34"/>
  <c r="AB66" i="34"/>
  <c r="AA66" i="34"/>
  <c r="Z66" i="34"/>
  <c r="AD65" i="34"/>
  <c r="AC65" i="34"/>
  <c r="AB65" i="34"/>
  <c r="AA65" i="34"/>
  <c r="Z65" i="34"/>
  <c r="AD64" i="34"/>
  <c r="AC64" i="34"/>
  <c r="AB64" i="34"/>
  <c r="AA64" i="34"/>
  <c r="Z64" i="34"/>
  <c r="AD63" i="34"/>
  <c r="AC63" i="34"/>
  <c r="AB63" i="34"/>
  <c r="AA63" i="34"/>
  <c r="Z63" i="34"/>
  <c r="AD62" i="34"/>
  <c r="AC62" i="34"/>
  <c r="AB62" i="34"/>
  <c r="AA62" i="34"/>
  <c r="Z62" i="34"/>
  <c r="AD61" i="34"/>
  <c r="AC61" i="34"/>
  <c r="AB61" i="34"/>
  <c r="AA61" i="34"/>
  <c r="Z61" i="34"/>
  <c r="AD60" i="34"/>
  <c r="AC60" i="34"/>
  <c r="AB60" i="34"/>
  <c r="AA60" i="34"/>
  <c r="Z60" i="34"/>
  <c r="AD59" i="34"/>
  <c r="AC59" i="34"/>
  <c r="AB59" i="34"/>
  <c r="AA59" i="34"/>
  <c r="Z59" i="34"/>
  <c r="AD58" i="34"/>
  <c r="AC58" i="34"/>
  <c r="AB58" i="34"/>
  <c r="AA58" i="34"/>
  <c r="Z58" i="34"/>
  <c r="AD57" i="34"/>
  <c r="AC57" i="34"/>
  <c r="AB57" i="34"/>
  <c r="AA57" i="34"/>
  <c r="Z57" i="34"/>
  <c r="AD56" i="34"/>
  <c r="AC56" i="34"/>
  <c r="AB56" i="34"/>
  <c r="AA56" i="34"/>
  <c r="Z56" i="34"/>
  <c r="AD55" i="34"/>
  <c r="AC55" i="34"/>
  <c r="AB55" i="34"/>
  <c r="AA55" i="34"/>
  <c r="Z55" i="34"/>
  <c r="AD54" i="34"/>
  <c r="AC54" i="34"/>
  <c r="AB54" i="34"/>
  <c r="AA54" i="34"/>
  <c r="Z54" i="34"/>
  <c r="AD53" i="34"/>
  <c r="AC53" i="34"/>
  <c r="AB53" i="34"/>
  <c r="AA53" i="34"/>
  <c r="Z53" i="34"/>
  <c r="AD52" i="34"/>
  <c r="AC52" i="34"/>
  <c r="AB52" i="34"/>
  <c r="AA52" i="34"/>
  <c r="Z52" i="34"/>
  <c r="AD51" i="34"/>
  <c r="AC51" i="34"/>
  <c r="AB51" i="34"/>
  <c r="AA51" i="34"/>
  <c r="Z51" i="34"/>
  <c r="AD50" i="34"/>
  <c r="AC50" i="34"/>
  <c r="AB50" i="34"/>
  <c r="AA50" i="34"/>
  <c r="Z50" i="34"/>
  <c r="AD49" i="34"/>
  <c r="AC49" i="34"/>
  <c r="AB49" i="34"/>
  <c r="AA49" i="34"/>
  <c r="Z49" i="34"/>
  <c r="AD48" i="34"/>
  <c r="AC48" i="34"/>
  <c r="AB48" i="34"/>
  <c r="AA48" i="34"/>
  <c r="Z48" i="34"/>
  <c r="AD47" i="34"/>
  <c r="AC47" i="34"/>
  <c r="AB47" i="34"/>
  <c r="AA47" i="34"/>
  <c r="Z47" i="34"/>
  <c r="AD46" i="34"/>
  <c r="AC46" i="34"/>
  <c r="AB46" i="34"/>
  <c r="AA46" i="34"/>
  <c r="Z46" i="34"/>
  <c r="AD45" i="34"/>
  <c r="AC45" i="34"/>
  <c r="AB45" i="34"/>
  <c r="AA45" i="34"/>
  <c r="Z45" i="34"/>
  <c r="AD44" i="34"/>
  <c r="AC44" i="34"/>
  <c r="AB44" i="34"/>
  <c r="AA44" i="34"/>
  <c r="Z44" i="34"/>
  <c r="AD43" i="34"/>
  <c r="AC43" i="34"/>
  <c r="AB43" i="34"/>
  <c r="AA43" i="34"/>
  <c r="Z43" i="34"/>
  <c r="AD42" i="34"/>
  <c r="AC42" i="34"/>
  <c r="AB42" i="34"/>
  <c r="AA42" i="34"/>
  <c r="Z42" i="34"/>
  <c r="AD41" i="34"/>
  <c r="AC41" i="34"/>
  <c r="AB41" i="34"/>
  <c r="AA41" i="34"/>
  <c r="Z41" i="34"/>
  <c r="AD40" i="34"/>
  <c r="AC40" i="34"/>
  <c r="AB40" i="34"/>
  <c r="AA40" i="34"/>
  <c r="Z40" i="34"/>
  <c r="AD39" i="34"/>
  <c r="AC39" i="34"/>
  <c r="AB39" i="34"/>
  <c r="AA39" i="34"/>
  <c r="Z39" i="34"/>
  <c r="AD38" i="34"/>
  <c r="AC38" i="34"/>
  <c r="AB38" i="34"/>
  <c r="AA38" i="34"/>
  <c r="Z38" i="34"/>
  <c r="AD37" i="34"/>
  <c r="AC37" i="34"/>
  <c r="AB37" i="34"/>
  <c r="AA37" i="34"/>
  <c r="Z37" i="34"/>
  <c r="AD36" i="34"/>
  <c r="AC36" i="34"/>
  <c r="AB36" i="34"/>
  <c r="AA36" i="34"/>
  <c r="Z36" i="34"/>
  <c r="AD35" i="34"/>
  <c r="AC35" i="34"/>
  <c r="AB35" i="34"/>
  <c r="AA35" i="34"/>
  <c r="Z35" i="34"/>
  <c r="AD34" i="34"/>
  <c r="AC34" i="34"/>
  <c r="AB34" i="34"/>
  <c r="AA34" i="34"/>
  <c r="Z34" i="34"/>
  <c r="AD33" i="34"/>
  <c r="AC33" i="34"/>
  <c r="AB33" i="34"/>
  <c r="AA33" i="34"/>
  <c r="Z33" i="34"/>
  <c r="AD32" i="34"/>
  <c r="AC32" i="34"/>
  <c r="AB32" i="34"/>
  <c r="AA32" i="34"/>
  <c r="Z32" i="34"/>
  <c r="AD31" i="34"/>
  <c r="AC31" i="34"/>
  <c r="AB31" i="34"/>
  <c r="AA31" i="34"/>
  <c r="Z31" i="34"/>
  <c r="AD30" i="34"/>
  <c r="AC30" i="34"/>
  <c r="AB30" i="34"/>
  <c r="AA30" i="34"/>
  <c r="Z30" i="34"/>
  <c r="AD29" i="34"/>
  <c r="AC29" i="34"/>
  <c r="AB29" i="34"/>
  <c r="AA29" i="34"/>
  <c r="Z29" i="34"/>
  <c r="AD28" i="34"/>
  <c r="AC28" i="34"/>
  <c r="AB28" i="34"/>
  <c r="AA28" i="34"/>
  <c r="Z28" i="34"/>
  <c r="AD27" i="34"/>
  <c r="AC27" i="34"/>
  <c r="AB27" i="34"/>
  <c r="AA27" i="34"/>
  <c r="Z27" i="34"/>
  <c r="AD26" i="34"/>
  <c r="AC26" i="34"/>
  <c r="AB26" i="34"/>
  <c r="AA26" i="34"/>
  <c r="Z26" i="34"/>
  <c r="AD25" i="34"/>
  <c r="AC25" i="34"/>
  <c r="AB25" i="34"/>
  <c r="AA25" i="34"/>
  <c r="Z25" i="34"/>
  <c r="AD24" i="34"/>
  <c r="AC24" i="34"/>
  <c r="AB24" i="34"/>
  <c r="AA24" i="34"/>
  <c r="Z24" i="34"/>
  <c r="AD23" i="34"/>
  <c r="AC23" i="34"/>
  <c r="AB23" i="34"/>
  <c r="AA23" i="34"/>
  <c r="Z23" i="34"/>
  <c r="AD22" i="34"/>
  <c r="AC22" i="34"/>
  <c r="AB22" i="34"/>
  <c r="AA22" i="34"/>
  <c r="Z22" i="34"/>
  <c r="AD21" i="34"/>
  <c r="AC21" i="34"/>
  <c r="AB21" i="34"/>
  <c r="AA21" i="34"/>
  <c r="Z21" i="34"/>
  <c r="AD20" i="34"/>
  <c r="AC20" i="34"/>
  <c r="AB20" i="34"/>
  <c r="AA20" i="34"/>
  <c r="Z20" i="34"/>
  <c r="AD19" i="34"/>
  <c r="AC19" i="34"/>
  <c r="AB19" i="34"/>
  <c r="AA19" i="34"/>
  <c r="Z19" i="34"/>
  <c r="AD18" i="34"/>
  <c r="AC18" i="34"/>
  <c r="AB18" i="34"/>
  <c r="AA18" i="34"/>
  <c r="Z18" i="34"/>
  <c r="AD17" i="34"/>
  <c r="AC17" i="34"/>
  <c r="AB17" i="34"/>
  <c r="AA17" i="34"/>
  <c r="Z17" i="34"/>
  <c r="AD16" i="34"/>
  <c r="AC16" i="34"/>
  <c r="AB16" i="34"/>
  <c r="AA16" i="34"/>
  <c r="Z16" i="34"/>
  <c r="AD15" i="34"/>
  <c r="AC15" i="34"/>
  <c r="AB15" i="34"/>
  <c r="AA15" i="34"/>
  <c r="Z15" i="34"/>
  <c r="Z14" i="34"/>
  <c r="AD14" i="34"/>
  <c r="AC14" i="34"/>
  <c r="AB14" i="34"/>
  <c r="AA14" i="34"/>
  <c r="AD98" i="33"/>
  <c r="AC98" i="33"/>
  <c r="AB98" i="33"/>
  <c r="AA98" i="33"/>
  <c r="Z98" i="33"/>
  <c r="AD97" i="33"/>
  <c r="AC97" i="33"/>
  <c r="AB97" i="33"/>
  <c r="AA97" i="33"/>
  <c r="Z97" i="33"/>
  <c r="AD96" i="33"/>
  <c r="AC96" i="33"/>
  <c r="AB96" i="33"/>
  <c r="AA96" i="33"/>
  <c r="Z96" i="33"/>
  <c r="AD95" i="33"/>
  <c r="AC95" i="33"/>
  <c r="AB95" i="33"/>
  <c r="AA95" i="33"/>
  <c r="Z95" i="33"/>
  <c r="AD94" i="33"/>
  <c r="AC94" i="33"/>
  <c r="AB94" i="33"/>
  <c r="AA94" i="33"/>
  <c r="Z94" i="33"/>
  <c r="AD93" i="33"/>
  <c r="AC93" i="33"/>
  <c r="AB93" i="33"/>
  <c r="AA93" i="33"/>
  <c r="Z93" i="33"/>
  <c r="AD92" i="33"/>
  <c r="AC92" i="33"/>
  <c r="AB92" i="33"/>
  <c r="AA92" i="33"/>
  <c r="Z92" i="33"/>
  <c r="AD91" i="33"/>
  <c r="AC91" i="33"/>
  <c r="AB91" i="33"/>
  <c r="AA91" i="33"/>
  <c r="Z91" i="33"/>
  <c r="AD90" i="33"/>
  <c r="AC90" i="33"/>
  <c r="AB90" i="33"/>
  <c r="AA90" i="33"/>
  <c r="Z90" i="33"/>
  <c r="AD89" i="33"/>
  <c r="AC89" i="33"/>
  <c r="AB89" i="33"/>
  <c r="AA89" i="33"/>
  <c r="Z89" i="33"/>
  <c r="AD88" i="33"/>
  <c r="AC88" i="33"/>
  <c r="AB88" i="33"/>
  <c r="AA88" i="33"/>
  <c r="Z88" i="33"/>
  <c r="AD87" i="33"/>
  <c r="AC87" i="33"/>
  <c r="AB87" i="33"/>
  <c r="AA87" i="33"/>
  <c r="Z87" i="33"/>
  <c r="AD86" i="33"/>
  <c r="AC86" i="33"/>
  <c r="AB86" i="33"/>
  <c r="AA86" i="33"/>
  <c r="Z86" i="33"/>
  <c r="AD85" i="33"/>
  <c r="AC85" i="33"/>
  <c r="AB85" i="33"/>
  <c r="AA85" i="33"/>
  <c r="Z85" i="33"/>
  <c r="AD84" i="33"/>
  <c r="AC84" i="33"/>
  <c r="AB84" i="33"/>
  <c r="AA84" i="33"/>
  <c r="Z84" i="33"/>
  <c r="AD83" i="33"/>
  <c r="AC83" i="33"/>
  <c r="AB83" i="33"/>
  <c r="AA83" i="33"/>
  <c r="Z83" i="33"/>
  <c r="AD82" i="33"/>
  <c r="AC82" i="33"/>
  <c r="AB82" i="33"/>
  <c r="AA82" i="33"/>
  <c r="Z82" i="33"/>
  <c r="AD81" i="33"/>
  <c r="AC81" i="33"/>
  <c r="AB81" i="33"/>
  <c r="AA81" i="33"/>
  <c r="Z81" i="33"/>
  <c r="AD80" i="33"/>
  <c r="AC80" i="33"/>
  <c r="AB80" i="33"/>
  <c r="AA80" i="33"/>
  <c r="Z80" i="33"/>
  <c r="AD79" i="33"/>
  <c r="AC79" i="33"/>
  <c r="AB79" i="33"/>
  <c r="AA79" i="33"/>
  <c r="Z79" i="33"/>
  <c r="AD78" i="33"/>
  <c r="AC78" i="33"/>
  <c r="AB78" i="33"/>
  <c r="AA78" i="33"/>
  <c r="Z78" i="33"/>
  <c r="AD77" i="33"/>
  <c r="AC77" i="33"/>
  <c r="AB77" i="33"/>
  <c r="AA77" i="33"/>
  <c r="Z77" i="33"/>
  <c r="AD76" i="33"/>
  <c r="AC76" i="33"/>
  <c r="AB76" i="33"/>
  <c r="AA76" i="33"/>
  <c r="Z76" i="33"/>
  <c r="AD75" i="33"/>
  <c r="AC75" i="33"/>
  <c r="AB75" i="33"/>
  <c r="AA75" i="33"/>
  <c r="Z75" i="33"/>
  <c r="AD74" i="33"/>
  <c r="AC74" i="33"/>
  <c r="AB74" i="33"/>
  <c r="AA74" i="33"/>
  <c r="Z74" i="33"/>
  <c r="AD73" i="33"/>
  <c r="AC73" i="33"/>
  <c r="AB73" i="33"/>
  <c r="AA73" i="33"/>
  <c r="Z73" i="33"/>
  <c r="AD72" i="33"/>
  <c r="AC72" i="33"/>
  <c r="AB72" i="33"/>
  <c r="AA72" i="33"/>
  <c r="Z72" i="33"/>
  <c r="AD71" i="33"/>
  <c r="AC71" i="33"/>
  <c r="AB71" i="33"/>
  <c r="AA71" i="33"/>
  <c r="Z71" i="33"/>
  <c r="AD70" i="33"/>
  <c r="AC70" i="33"/>
  <c r="AB70" i="33"/>
  <c r="AA70" i="33"/>
  <c r="Z70" i="33"/>
  <c r="AD69" i="33"/>
  <c r="AC69" i="33"/>
  <c r="AB69" i="33"/>
  <c r="AA69" i="33"/>
  <c r="Z69" i="33"/>
  <c r="AD68" i="33"/>
  <c r="AC68" i="33"/>
  <c r="AB68" i="33"/>
  <c r="AA68" i="33"/>
  <c r="Z68" i="33"/>
  <c r="AD67" i="33"/>
  <c r="AC67" i="33"/>
  <c r="AB67" i="33"/>
  <c r="AA67" i="33"/>
  <c r="Z67" i="33"/>
  <c r="AD66" i="33"/>
  <c r="AC66" i="33"/>
  <c r="AB66" i="33"/>
  <c r="AA66" i="33"/>
  <c r="Z66" i="33"/>
  <c r="AD65" i="33"/>
  <c r="AC65" i="33"/>
  <c r="AB65" i="33"/>
  <c r="AA65" i="33"/>
  <c r="Z65" i="33"/>
  <c r="AD64" i="33"/>
  <c r="AC64" i="33"/>
  <c r="AB64" i="33"/>
  <c r="AA64" i="33"/>
  <c r="Z64" i="33"/>
  <c r="AD63" i="33"/>
  <c r="AC63" i="33"/>
  <c r="AB63" i="33"/>
  <c r="AA63" i="33"/>
  <c r="Z63" i="33"/>
  <c r="AD62" i="33"/>
  <c r="AC62" i="33"/>
  <c r="AB62" i="33"/>
  <c r="AA62" i="33"/>
  <c r="Z62" i="33"/>
  <c r="AD61" i="33"/>
  <c r="AC61" i="33"/>
  <c r="AB61" i="33"/>
  <c r="AA61" i="33"/>
  <c r="Z61" i="33"/>
  <c r="AD60" i="33"/>
  <c r="AC60" i="33"/>
  <c r="AB60" i="33"/>
  <c r="AA60" i="33"/>
  <c r="Z60" i="33"/>
  <c r="AD59" i="33"/>
  <c r="AC59" i="33"/>
  <c r="AB59" i="33"/>
  <c r="AA59" i="33"/>
  <c r="Z59" i="33"/>
  <c r="AD58" i="33"/>
  <c r="AC58" i="33"/>
  <c r="AB58" i="33"/>
  <c r="AA58" i="33"/>
  <c r="Z58" i="33"/>
  <c r="AD57" i="33"/>
  <c r="AC57" i="33"/>
  <c r="AB57" i="33"/>
  <c r="AA57" i="33"/>
  <c r="Z57" i="33"/>
  <c r="AD56" i="33"/>
  <c r="AC56" i="33"/>
  <c r="AB56" i="33"/>
  <c r="AA56" i="33"/>
  <c r="Z56" i="33"/>
  <c r="AD55" i="33"/>
  <c r="AC55" i="33"/>
  <c r="AB55" i="33"/>
  <c r="AA55" i="33"/>
  <c r="Z55" i="33"/>
  <c r="AD54" i="33"/>
  <c r="AC54" i="33"/>
  <c r="AB54" i="33"/>
  <c r="AA54" i="33"/>
  <c r="Z54" i="33"/>
  <c r="AD53" i="33"/>
  <c r="AC53" i="33"/>
  <c r="AB53" i="33"/>
  <c r="AA53" i="33"/>
  <c r="Z53" i="33"/>
  <c r="AD52" i="33"/>
  <c r="AC52" i="33"/>
  <c r="AB52" i="33"/>
  <c r="AA52" i="33"/>
  <c r="Z52" i="33"/>
  <c r="AD51" i="33"/>
  <c r="AC51" i="33"/>
  <c r="AB51" i="33"/>
  <c r="AA51" i="33"/>
  <c r="Z51" i="33"/>
  <c r="AD50" i="33"/>
  <c r="AC50" i="33"/>
  <c r="AB50" i="33"/>
  <c r="AA50" i="33"/>
  <c r="Z50" i="33"/>
  <c r="AD49" i="33"/>
  <c r="AC49" i="33"/>
  <c r="AB49" i="33"/>
  <c r="AA49" i="33"/>
  <c r="Z49" i="33"/>
  <c r="AD48" i="33"/>
  <c r="AC48" i="33"/>
  <c r="AB48" i="33"/>
  <c r="AA48" i="33"/>
  <c r="Z48" i="33"/>
  <c r="AD47" i="33"/>
  <c r="AC47" i="33"/>
  <c r="AB47" i="33"/>
  <c r="AA47" i="33"/>
  <c r="Z47" i="33"/>
  <c r="AD46" i="33"/>
  <c r="AC46" i="33"/>
  <c r="AB46" i="33"/>
  <c r="AA46" i="33"/>
  <c r="Z46" i="33"/>
  <c r="AD45" i="33"/>
  <c r="AC45" i="33"/>
  <c r="AB45" i="33"/>
  <c r="AA45" i="33"/>
  <c r="Z45" i="33"/>
  <c r="AD44" i="33"/>
  <c r="AC44" i="33"/>
  <c r="AB44" i="33"/>
  <c r="AA44" i="33"/>
  <c r="Z44" i="33"/>
  <c r="AD43" i="33"/>
  <c r="AC43" i="33"/>
  <c r="AB43" i="33"/>
  <c r="AA43" i="33"/>
  <c r="Z43" i="33"/>
  <c r="AD42" i="33"/>
  <c r="AC42" i="33"/>
  <c r="AB42" i="33"/>
  <c r="AA42" i="33"/>
  <c r="Z42" i="33"/>
  <c r="AD41" i="33"/>
  <c r="AC41" i="33"/>
  <c r="AB41" i="33"/>
  <c r="AA41" i="33"/>
  <c r="Z41" i="33"/>
  <c r="AD40" i="33"/>
  <c r="AC40" i="33"/>
  <c r="AB40" i="33"/>
  <c r="AA40" i="33"/>
  <c r="Z40" i="33"/>
  <c r="AD39" i="33"/>
  <c r="AC39" i="33"/>
  <c r="AB39" i="33"/>
  <c r="AA39" i="33"/>
  <c r="Z39" i="33"/>
  <c r="AD38" i="33"/>
  <c r="AC38" i="33"/>
  <c r="AB38" i="33"/>
  <c r="AA38" i="33"/>
  <c r="Z38" i="33"/>
  <c r="AD37" i="33"/>
  <c r="AC37" i="33"/>
  <c r="AB37" i="33"/>
  <c r="AA37" i="33"/>
  <c r="Z37" i="33"/>
  <c r="AD36" i="33"/>
  <c r="AC36" i="33"/>
  <c r="AB36" i="33"/>
  <c r="AA36" i="33"/>
  <c r="Z36" i="33"/>
  <c r="AD35" i="33"/>
  <c r="AC35" i="33"/>
  <c r="AB35" i="33"/>
  <c r="AA35" i="33"/>
  <c r="Z35" i="33"/>
  <c r="AD34" i="33"/>
  <c r="AC34" i="33"/>
  <c r="AB34" i="33"/>
  <c r="AA34" i="33"/>
  <c r="Z34" i="33"/>
  <c r="AD33" i="33"/>
  <c r="AC33" i="33"/>
  <c r="AB33" i="33"/>
  <c r="AA33" i="33"/>
  <c r="Z33" i="33"/>
  <c r="AD32" i="33"/>
  <c r="AC32" i="33"/>
  <c r="AB32" i="33"/>
  <c r="AA32" i="33"/>
  <c r="Z32" i="33"/>
  <c r="AD31" i="33"/>
  <c r="AC31" i="33"/>
  <c r="AB31" i="33"/>
  <c r="AA31" i="33"/>
  <c r="Z31" i="33"/>
  <c r="AD30" i="33"/>
  <c r="AC30" i="33"/>
  <c r="AB30" i="33"/>
  <c r="AA30" i="33"/>
  <c r="Z30" i="33"/>
  <c r="AD29" i="33"/>
  <c r="AC29" i="33"/>
  <c r="AB29" i="33"/>
  <c r="AA29" i="33"/>
  <c r="Z29" i="33"/>
  <c r="AD28" i="33"/>
  <c r="AC28" i="33"/>
  <c r="AB28" i="33"/>
  <c r="AA28" i="33"/>
  <c r="Z28" i="33"/>
  <c r="AD27" i="33"/>
  <c r="AC27" i="33"/>
  <c r="AB27" i="33"/>
  <c r="AA27" i="33"/>
  <c r="Z27" i="33"/>
  <c r="AD26" i="33"/>
  <c r="AC26" i="33"/>
  <c r="AB26" i="33"/>
  <c r="AA26" i="33"/>
  <c r="Z26" i="33"/>
  <c r="AD25" i="33"/>
  <c r="AC25" i="33"/>
  <c r="AB25" i="33"/>
  <c r="AA25" i="33"/>
  <c r="Z25" i="33"/>
  <c r="AD24" i="33"/>
  <c r="AC24" i="33"/>
  <c r="AB24" i="33"/>
  <c r="AA24" i="33"/>
  <c r="Z24" i="33"/>
  <c r="AD23" i="33"/>
  <c r="AC23" i="33"/>
  <c r="AB23" i="33"/>
  <c r="AA23" i="33"/>
  <c r="Z23" i="33"/>
  <c r="AD22" i="33"/>
  <c r="AC22" i="33"/>
  <c r="AB22" i="33"/>
  <c r="AA22" i="33"/>
  <c r="Z22" i="33"/>
  <c r="AD21" i="33"/>
  <c r="AC21" i="33"/>
  <c r="AB21" i="33"/>
  <c r="AA21" i="33"/>
  <c r="Z21" i="33"/>
  <c r="AD20" i="33"/>
  <c r="AC20" i="33"/>
  <c r="AB20" i="33"/>
  <c r="AA20" i="33"/>
  <c r="Z20" i="33"/>
  <c r="AD19" i="33"/>
  <c r="AC19" i="33"/>
  <c r="AB19" i="33"/>
  <c r="AA19" i="33"/>
  <c r="Z19" i="33"/>
  <c r="AD18" i="33"/>
  <c r="AC18" i="33"/>
  <c r="AB18" i="33"/>
  <c r="AA18" i="33"/>
  <c r="Z18" i="33"/>
  <c r="AD17" i="33"/>
  <c r="AC17" i="33"/>
  <c r="AB17" i="33"/>
  <c r="AA17" i="33"/>
  <c r="Z17" i="33"/>
  <c r="AD16" i="33"/>
  <c r="AC16" i="33"/>
  <c r="AB16" i="33"/>
  <c r="AA16" i="33"/>
  <c r="Z16" i="33"/>
  <c r="AD15" i="33"/>
  <c r="AC15" i="33"/>
  <c r="AB15" i="33"/>
  <c r="AA15" i="33"/>
  <c r="Z15" i="33"/>
  <c r="AD14" i="33"/>
  <c r="AC14" i="33"/>
  <c r="AB14" i="33"/>
  <c r="AA14" i="33"/>
  <c r="Z14" i="33"/>
  <c r="Q39" i="11"/>
  <c r="P39" i="11"/>
  <c r="O39" i="11"/>
  <c r="Q38" i="11"/>
  <c r="P38" i="11"/>
  <c r="O38" i="11"/>
  <c r="Q37" i="11"/>
  <c r="P37" i="11"/>
  <c r="O37" i="11"/>
  <c r="Q36" i="11"/>
  <c r="P36" i="11"/>
  <c r="O36" i="11"/>
  <c r="Q35" i="11"/>
  <c r="P35" i="11"/>
  <c r="O35" i="11"/>
  <c r="Q34" i="11"/>
  <c r="P34" i="11"/>
  <c r="O34" i="11"/>
  <c r="Q33" i="11"/>
  <c r="P33" i="11"/>
  <c r="O33" i="11"/>
  <c r="Q32" i="11"/>
  <c r="P32" i="11"/>
  <c r="O32" i="11"/>
  <c r="Q31" i="11"/>
  <c r="P31" i="11"/>
  <c r="O31" i="11"/>
  <c r="Q30" i="11"/>
  <c r="P30" i="11"/>
  <c r="O30" i="11"/>
  <c r="Q29" i="11"/>
  <c r="P29" i="11"/>
  <c r="O29" i="11"/>
  <c r="Q28" i="11"/>
  <c r="P28" i="11"/>
  <c r="O28" i="11"/>
  <c r="Q27" i="11"/>
  <c r="P27" i="11"/>
  <c r="O27" i="11"/>
  <c r="Q26" i="11"/>
  <c r="P26" i="11"/>
  <c r="O26" i="11"/>
  <c r="Q25" i="11"/>
  <c r="P25" i="11"/>
  <c r="O25" i="11"/>
  <c r="Q24" i="11"/>
  <c r="P24" i="11"/>
  <c r="O24" i="11"/>
  <c r="Q23" i="11"/>
  <c r="P23" i="11"/>
  <c r="O23" i="11"/>
  <c r="Q22" i="11"/>
  <c r="P22" i="11"/>
  <c r="O22" i="11"/>
  <c r="Q21" i="11"/>
  <c r="P21" i="11"/>
  <c r="O21" i="11"/>
  <c r="Q20" i="11"/>
  <c r="P20" i="11"/>
  <c r="O20" i="11"/>
  <c r="Q19" i="11"/>
  <c r="P19" i="11"/>
  <c r="O19" i="11"/>
  <c r="Q18" i="11"/>
  <c r="P18" i="11"/>
  <c r="O18" i="11"/>
  <c r="Q17" i="11"/>
  <c r="P17" i="11"/>
  <c r="O17" i="11"/>
  <c r="Q16" i="11"/>
  <c r="P16" i="11"/>
  <c r="O16" i="11"/>
  <c r="Q15" i="11"/>
  <c r="P15" i="11"/>
  <c r="O15" i="11"/>
  <c r="Q14" i="11"/>
  <c r="P14" i="11"/>
  <c r="O14" i="11"/>
  <c r="Q13" i="11"/>
  <c r="P13" i="11"/>
  <c r="O13" i="11"/>
  <c r="Q12" i="11"/>
  <c r="P12" i="11"/>
  <c r="O12" i="11"/>
  <c r="Q11" i="11"/>
  <c r="P11" i="11"/>
  <c r="O11" i="11"/>
  <c r="AD146" i="32"/>
  <c r="AC146" i="32"/>
  <c r="AB146" i="32"/>
  <c r="AA146" i="32"/>
  <c r="Z146" i="32"/>
  <c r="AD145" i="32"/>
  <c r="AC145" i="32"/>
  <c r="AB145" i="32"/>
  <c r="AA145" i="32"/>
  <c r="Z145" i="32"/>
  <c r="AD144" i="32"/>
  <c r="AC144" i="32"/>
  <c r="AB144" i="32"/>
  <c r="AA144" i="32"/>
  <c r="Z144" i="32"/>
  <c r="AD143" i="32"/>
  <c r="AC143" i="32"/>
  <c r="AB143" i="32"/>
  <c r="AA143" i="32"/>
  <c r="Z143" i="32"/>
  <c r="AD142" i="32"/>
  <c r="AC142" i="32"/>
  <c r="AB142" i="32"/>
  <c r="AA142" i="32"/>
  <c r="Z142" i="32"/>
  <c r="AD141" i="32"/>
  <c r="AC141" i="32"/>
  <c r="AB141" i="32"/>
  <c r="AA141" i="32"/>
  <c r="Z141" i="32"/>
  <c r="AD140" i="32"/>
  <c r="AC140" i="32"/>
  <c r="AB140" i="32"/>
  <c r="AA140" i="32"/>
  <c r="Z140" i="32"/>
  <c r="AD139" i="32"/>
  <c r="AC139" i="32"/>
  <c r="AB139" i="32"/>
  <c r="AA139" i="32"/>
  <c r="Z139" i="32"/>
  <c r="AD138" i="32"/>
  <c r="AC138" i="32"/>
  <c r="AB138" i="32"/>
  <c r="AA138" i="32"/>
  <c r="Z138" i="32"/>
  <c r="AD137" i="32"/>
  <c r="AC137" i="32"/>
  <c r="AB137" i="32"/>
  <c r="AA137" i="32"/>
  <c r="Z137" i="32"/>
  <c r="AD136" i="32"/>
  <c r="AC136" i="32"/>
  <c r="AB136" i="32"/>
  <c r="AA136" i="32"/>
  <c r="Z136" i="32"/>
  <c r="AD135" i="32"/>
  <c r="AC135" i="32"/>
  <c r="AB135" i="32"/>
  <c r="AA135" i="32"/>
  <c r="Z135" i="32"/>
  <c r="AD134" i="32"/>
  <c r="AC134" i="32"/>
  <c r="AB134" i="32"/>
  <c r="AA134" i="32"/>
  <c r="Z134" i="32"/>
  <c r="AD133" i="32"/>
  <c r="AC133" i="32"/>
  <c r="AB133" i="32"/>
  <c r="AA133" i="32"/>
  <c r="Z133" i="32"/>
  <c r="AD132" i="32"/>
  <c r="AC132" i="32"/>
  <c r="AB132" i="32"/>
  <c r="AA132" i="32"/>
  <c r="Z132" i="32"/>
  <c r="AD131" i="32"/>
  <c r="AC131" i="32"/>
  <c r="AB131" i="32"/>
  <c r="AA131" i="32"/>
  <c r="Z131" i="32"/>
  <c r="AD130" i="32"/>
  <c r="AC130" i="32"/>
  <c r="AB130" i="32"/>
  <c r="AA130" i="32"/>
  <c r="Z130" i="32"/>
  <c r="AD129" i="32"/>
  <c r="AC129" i="32"/>
  <c r="AB129" i="32"/>
  <c r="AA129" i="32"/>
  <c r="Z129" i="32"/>
  <c r="AD128" i="32"/>
  <c r="AC128" i="32"/>
  <c r="AB128" i="32"/>
  <c r="AA128" i="32"/>
  <c r="Z128" i="32"/>
  <c r="AD127" i="32"/>
  <c r="AC127" i="32"/>
  <c r="AB127" i="32"/>
  <c r="AA127" i="32"/>
  <c r="Z127" i="32"/>
  <c r="AD126" i="32"/>
  <c r="AC126" i="32"/>
  <c r="AB126" i="32"/>
  <c r="AA126" i="32"/>
  <c r="Z126" i="32"/>
  <c r="AD125" i="32"/>
  <c r="AC125" i="32"/>
  <c r="AB125" i="32"/>
  <c r="AA125" i="32"/>
  <c r="Z125" i="32"/>
  <c r="AD124" i="32"/>
  <c r="AC124" i="32"/>
  <c r="AB124" i="32"/>
  <c r="AA124" i="32"/>
  <c r="Z124" i="32"/>
  <c r="AD123" i="32"/>
  <c r="AC123" i="32"/>
  <c r="AB123" i="32"/>
  <c r="AA123" i="32"/>
  <c r="Z123" i="32"/>
  <c r="AD122" i="32"/>
  <c r="AC122" i="32"/>
  <c r="AB122" i="32"/>
  <c r="AA122" i="32"/>
  <c r="Z122" i="32"/>
  <c r="AD121" i="32"/>
  <c r="AC121" i="32"/>
  <c r="AB121" i="32"/>
  <c r="AA121" i="32"/>
  <c r="Z121" i="32"/>
  <c r="AD120" i="32"/>
  <c r="AC120" i="32"/>
  <c r="AB120" i="32"/>
  <c r="AA120" i="32"/>
  <c r="Z120" i="32"/>
  <c r="AD119" i="32"/>
  <c r="AC119" i="32"/>
  <c r="AB119" i="32"/>
  <c r="AA119" i="32"/>
  <c r="Z119" i="32"/>
  <c r="AD118" i="32"/>
  <c r="AC118" i="32"/>
  <c r="AB118" i="32"/>
  <c r="AA118" i="32"/>
  <c r="Z118" i="32"/>
  <c r="AD117" i="32"/>
  <c r="AC117" i="32"/>
  <c r="AB117" i="32"/>
  <c r="AA117" i="32"/>
  <c r="Z117" i="32"/>
  <c r="AD116" i="32"/>
  <c r="AC116" i="32"/>
  <c r="AB116" i="32"/>
  <c r="AA116" i="32"/>
  <c r="Z116" i="32"/>
  <c r="AD115" i="32"/>
  <c r="AC115" i="32"/>
  <c r="AB115" i="32"/>
  <c r="AA115" i="32"/>
  <c r="Z115" i="32"/>
  <c r="AD114" i="32"/>
  <c r="AC114" i="32"/>
  <c r="AB114" i="32"/>
  <c r="AA114" i="32"/>
  <c r="Z114" i="32"/>
  <c r="AD113" i="32"/>
  <c r="AC113" i="32"/>
  <c r="AB113" i="32"/>
  <c r="AA113" i="32"/>
  <c r="Z113" i="32"/>
  <c r="AD112" i="32"/>
  <c r="AC112" i="32"/>
  <c r="AB112" i="32"/>
  <c r="AA112" i="32"/>
  <c r="Z112" i="32"/>
  <c r="AD111" i="32"/>
  <c r="AC111" i="32"/>
  <c r="AB111" i="32"/>
  <c r="AA111" i="32"/>
  <c r="Z111" i="32"/>
  <c r="AD110" i="32"/>
  <c r="AC110" i="32"/>
  <c r="AB110" i="32"/>
  <c r="AA110" i="32"/>
  <c r="Z110" i="32"/>
  <c r="AD109" i="32"/>
  <c r="AC109" i="32"/>
  <c r="AB109" i="32"/>
  <c r="AA109" i="32"/>
  <c r="Z109" i="32"/>
  <c r="AD108" i="32"/>
  <c r="AC108" i="32"/>
  <c r="AB108" i="32"/>
  <c r="AA108" i="32"/>
  <c r="Z108" i="32"/>
  <c r="AD107" i="32"/>
  <c r="AC107" i="32"/>
  <c r="AB107" i="32"/>
  <c r="AA107" i="32"/>
  <c r="Z107" i="32"/>
  <c r="AD106" i="32"/>
  <c r="AC106" i="32"/>
  <c r="AB106" i="32"/>
  <c r="AA106" i="32"/>
  <c r="Z106" i="32"/>
  <c r="AD105" i="32"/>
  <c r="AC105" i="32"/>
  <c r="AB105" i="32"/>
  <c r="AA105" i="32"/>
  <c r="Z105" i="32"/>
  <c r="AD104" i="32"/>
  <c r="AC104" i="32"/>
  <c r="AB104" i="32"/>
  <c r="AA104" i="32"/>
  <c r="Z104" i="32"/>
  <c r="AD103" i="32"/>
  <c r="AC103" i="32"/>
  <c r="AB103" i="32"/>
  <c r="AA103" i="32"/>
  <c r="Z103" i="32"/>
  <c r="AD102" i="32"/>
  <c r="AC102" i="32"/>
  <c r="AB102" i="32"/>
  <c r="AA102" i="32"/>
  <c r="Z102" i="32"/>
  <c r="AD101" i="32"/>
  <c r="AC101" i="32"/>
  <c r="AB101" i="32"/>
  <c r="AA101" i="32"/>
  <c r="Z101" i="32"/>
  <c r="AD100" i="32"/>
  <c r="AC100" i="32"/>
  <c r="AB100" i="32"/>
  <c r="AA100" i="32"/>
  <c r="Z100" i="32"/>
  <c r="AD99" i="32"/>
  <c r="AC99" i="32"/>
  <c r="AB99" i="32"/>
  <c r="AA99" i="32"/>
  <c r="Z99" i="32"/>
  <c r="AD98" i="32"/>
  <c r="AC98" i="32"/>
  <c r="AB98" i="32"/>
  <c r="AA98" i="32"/>
  <c r="Z98" i="32"/>
  <c r="AD97" i="32"/>
  <c r="AC97" i="32"/>
  <c r="AB97" i="32"/>
  <c r="AA97" i="32"/>
  <c r="Z97" i="32"/>
  <c r="AD96" i="32"/>
  <c r="AC96" i="32"/>
  <c r="AB96" i="32"/>
  <c r="AA96" i="32"/>
  <c r="Z96" i="32"/>
  <c r="AD95" i="32"/>
  <c r="AC95" i="32"/>
  <c r="AB95" i="32"/>
  <c r="AA95" i="32"/>
  <c r="Z95" i="32"/>
  <c r="AD94" i="32"/>
  <c r="AC94" i="32"/>
  <c r="AB94" i="32"/>
  <c r="AA94" i="32"/>
  <c r="Z94" i="32"/>
  <c r="AD93" i="32"/>
  <c r="AC93" i="32"/>
  <c r="AB93" i="32"/>
  <c r="AA93" i="32"/>
  <c r="Z93" i="32"/>
  <c r="AD92" i="32"/>
  <c r="AC92" i="32"/>
  <c r="AB92" i="32"/>
  <c r="AA92" i="32"/>
  <c r="Z92" i="32"/>
  <c r="AD91" i="32"/>
  <c r="AC91" i="32"/>
  <c r="AB91" i="32"/>
  <c r="AA91" i="32"/>
  <c r="Z91" i="32"/>
  <c r="AD90" i="32"/>
  <c r="AC90" i="32"/>
  <c r="AB90" i="32"/>
  <c r="AA90" i="32"/>
  <c r="Z90" i="32"/>
  <c r="AD89" i="32"/>
  <c r="AC89" i="32"/>
  <c r="AB89" i="32"/>
  <c r="AA89" i="32"/>
  <c r="Z89" i="32"/>
  <c r="AD88" i="32"/>
  <c r="AC88" i="32"/>
  <c r="AB88" i="32"/>
  <c r="AA88" i="32"/>
  <c r="Z88" i="32"/>
  <c r="AD87" i="32"/>
  <c r="AC87" i="32"/>
  <c r="AB87" i="32"/>
  <c r="AA87" i="32"/>
  <c r="Z87" i="32"/>
  <c r="AD86" i="32"/>
  <c r="AC86" i="32"/>
  <c r="AB86" i="32"/>
  <c r="AA86" i="32"/>
  <c r="Z86" i="32"/>
  <c r="AD85" i="32"/>
  <c r="AC85" i="32"/>
  <c r="AB85" i="32"/>
  <c r="AA85" i="32"/>
  <c r="Z85" i="32"/>
  <c r="AD84" i="32"/>
  <c r="AC84" i="32"/>
  <c r="AB84" i="32"/>
  <c r="AA84" i="32"/>
  <c r="Z84" i="32"/>
  <c r="AD83" i="32"/>
  <c r="AC83" i="32"/>
  <c r="AB83" i="32"/>
  <c r="AA83" i="32"/>
  <c r="Z83" i="32"/>
  <c r="AD82" i="32"/>
  <c r="AC82" i="32"/>
  <c r="AB82" i="32"/>
  <c r="AA82" i="32"/>
  <c r="Z82" i="32"/>
  <c r="AD81" i="32"/>
  <c r="AC81" i="32"/>
  <c r="AB81" i="32"/>
  <c r="AA81" i="32"/>
  <c r="Z81" i="32"/>
  <c r="AD80" i="32"/>
  <c r="AC80" i="32"/>
  <c r="AB80" i="32"/>
  <c r="AA80" i="32"/>
  <c r="Z80" i="32"/>
  <c r="AD79" i="32"/>
  <c r="AC79" i="32"/>
  <c r="AB79" i="32"/>
  <c r="AA79" i="32"/>
  <c r="Z79" i="32"/>
  <c r="AD78" i="32"/>
  <c r="AC78" i="32"/>
  <c r="AB78" i="32"/>
  <c r="AA78" i="32"/>
  <c r="Z78" i="32"/>
  <c r="AD77" i="32"/>
  <c r="AC77" i="32"/>
  <c r="AB77" i="32"/>
  <c r="AA77" i="32"/>
  <c r="Z77" i="32"/>
  <c r="AD76" i="32"/>
  <c r="AC76" i="32"/>
  <c r="AB76" i="32"/>
  <c r="AA76" i="32"/>
  <c r="Z76" i="32"/>
  <c r="AD75" i="32"/>
  <c r="AC75" i="32"/>
  <c r="AB75" i="32"/>
  <c r="AA75" i="32"/>
  <c r="Z75" i="32"/>
  <c r="AD74" i="32"/>
  <c r="AC74" i="32"/>
  <c r="AB74" i="32"/>
  <c r="AA74" i="32"/>
  <c r="Z74" i="32"/>
  <c r="AD73" i="32"/>
  <c r="AC73" i="32"/>
  <c r="AB73" i="32"/>
  <c r="AA73" i="32"/>
  <c r="Z73" i="32"/>
  <c r="AD72" i="32"/>
  <c r="AC72" i="32"/>
  <c r="AB72" i="32"/>
  <c r="AA72" i="32"/>
  <c r="Z72" i="32"/>
  <c r="AD71" i="32"/>
  <c r="AC71" i="32"/>
  <c r="AB71" i="32"/>
  <c r="AA71" i="32"/>
  <c r="Z71" i="32"/>
  <c r="AD70" i="32"/>
  <c r="AC70" i="32"/>
  <c r="AB70" i="32"/>
  <c r="AA70" i="32"/>
  <c r="Z70" i="32"/>
  <c r="AD69" i="32"/>
  <c r="AC69" i="32"/>
  <c r="AB69" i="32"/>
  <c r="AA69" i="32"/>
  <c r="Z69" i="32"/>
  <c r="AD68" i="32"/>
  <c r="AC68" i="32"/>
  <c r="AB68" i="32"/>
  <c r="AA68" i="32"/>
  <c r="Z68" i="32"/>
  <c r="AD67" i="32"/>
  <c r="AC67" i="32"/>
  <c r="AB67" i="32"/>
  <c r="AA67" i="32"/>
  <c r="Z67" i="32"/>
  <c r="AD66" i="32"/>
  <c r="AC66" i="32"/>
  <c r="AB66" i="32"/>
  <c r="AA66" i="32"/>
  <c r="Z66" i="32"/>
  <c r="AD65" i="32"/>
  <c r="AC65" i="32"/>
  <c r="AB65" i="32"/>
  <c r="AA65" i="32"/>
  <c r="Z65" i="32"/>
  <c r="AD64" i="32"/>
  <c r="AC64" i="32"/>
  <c r="AB64" i="32"/>
  <c r="AA64" i="32"/>
  <c r="Z64" i="32"/>
  <c r="AD63" i="32"/>
  <c r="AC63" i="32"/>
  <c r="AB63" i="32"/>
  <c r="AA63" i="32"/>
  <c r="Z63" i="32"/>
  <c r="AD62" i="32"/>
  <c r="AC62" i="32"/>
  <c r="AB62" i="32"/>
  <c r="AA62" i="32"/>
  <c r="Z62" i="32"/>
  <c r="AD61" i="32"/>
  <c r="AC61" i="32"/>
  <c r="AB61" i="32"/>
  <c r="AA61" i="32"/>
  <c r="Z61" i="32"/>
  <c r="AD60" i="32"/>
  <c r="AC60" i="32"/>
  <c r="AB60" i="32"/>
  <c r="AA60" i="32"/>
  <c r="Z60" i="32"/>
  <c r="AD59" i="32"/>
  <c r="AC59" i="32"/>
  <c r="AB59" i="32"/>
  <c r="AA59" i="32"/>
  <c r="Z59" i="32"/>
  <c r="AD58" i="32"/>
  <c r="AC58" i="32"/>
  <c r="AB58" i="32"/>
  <c r="AA58" i="32"/>
  <c r="Z58" i="32"/>
  <c r="AD57" i="32"/>
  <c r="AC57" i="32"/>
  <c r="AB57" i="32"/>
  <c r="AA57" i="32"/>
  <c r="Z57" i="32"/>
  <c r="AD56" i="32"/>
  <c r="AC56" i="32"/>
  <c r="AB56" i="32"/>
  <c r="AA56" i="32"/>
  <c r="Z56" i="32"/>
  <c r="AD55" i="32"/>
  <c r="AC55" i="32"/>
  <c r="AB55" i="32"/>
  <c r="AA55" i="32"/>
  <c r="Z55" i="32"/>
  <c r="AD54" i="32"/>
  <c r="AC54" i="32"/>
  <c r="AB54" i="32"/>
  <c r="AA54" i="32"/>
  <c r="Z54" i="32"/>
  <c r="AD53" i="32"/>
  <c r="AC53" i="32"/>
  <c r="AB53" i="32"/>
  <c r="AA53" i="32"/>
  <c r="Z53" i="32"/>
  <c r="AD52" i="32"/>
  <c r="AC52" i="32"/>
  <c r="AB52" i="32"/>
  <c r="AA52" i="32"/>
  <c r="Z52" i="32"/>
  <c r="AD51" i="32"/>
  <c r="AC51" i="32"/>
  <c r="AB51" i="32"/>
  <c r="AA51" i="32"/>
  <c r="Z51" i="32"/>
  <c r="AD50" i="32"/>
  <c r="AC50" i="32"/>
  <c r="AB50" i="32"/>
  <c r="AA50" i="32"/>
  <c r="Z50" i="32"/>
  <c r="AD49" i="32"/>
  <c r="AC49" i="32"/>
  <c r="AB49" i="32"/>
  <c r="AA49" i="32"/>
  <c r="Z49" i="32"/>
  <c r="AD48" i="32"/>
  <c r="AC48" i="32"/>
  <c r="AB48" i="32"/>
  <c r="AA48" i="32"/>
  <c r="Z48" i="32"/>
  <c r="AD47" i="32"/>
  <c r="AC47" i="32"/>
  <c r="AB47" i="32"/>
  <c r="AA47" i="32"/>
  <c r="Z47" i="32"/>
  <c r="AD46" i="32"/>
  <c r="AC46" i="32"/>
  <c r="AB46" i="32"/>
  <c r="AA46" i="32"/>
  <c r="Z46" i="32"/>
  <c r="AD45" i="32"/>
  <c r="AC45" i="32"/>
  <c r="AB45" i="32"/>
  <c r="AA45" i="32"/>
  <c r="Z45" i="32"/>
  <c r="AD44" i="32"/>
  <c r="AC44" i="32"/>
  <c r="AB44" i="32"/>
  <c r="AA44" i="32"/>
  <c r="Z44" i="32"/>
  <c r="AD43" i="32"/>
  <c r="AC43" i="32"/>
  <c r="AB43" i="32"/>
  <c r="AA43" i="32"/>
  <c r="Z43" i="32"/>
  <c r="AD42" i="32"/>
  <c r="AC42" i="32"/>
  <c r="AB42" i="32"/>
  <c r="AA42" i="32"/>
  <c r="Z42" i="32"/>
  <c r="AD41" i="32"/>
  <c r="AC41" i="32"/>
  <c r="AB41" i="32"/>
  <c r="AA41" i="32"/>
  <c r="Z41" i="32"/>
  <c r="AD40" i="32"/>
  <c r="AC40" i="32"/>
  <c r="AB40" i="32"/>
  <c r="AA40" i="32"/>
  <c r="Z40" i="32"/>
  <c r="AD39" i="32"/>
  <c r="AC39" i="32"/>
  <c r="AB39" i="32"/>
  <c r="AA39" i="32"/>
  <c r="Z39" i="32"/>
  <c r="AD38" i="32"/>
  <c r="AC38" i="32"/>
  <c r="AB38" i="32"/>
  <c r="AA38" i="32"/>
  <c r="Z38" i="32"/>
  <c r="AD37" i="32"/>
  <c r="AC37" i="32"/>
  <c r="AB37" i="32"/>
  <c r="AA37" i="32"/>
  <c r="Z37" i="32"/>
  <c r="AD36" i="32"/>
  <c r="AC36" i="32"/>
  <c r="AB36" i="32"/>
  <c r="AA36" i="32"/>
  <c r="Z36" i="32"/>
  <c r="AD35" i="32"/>
  <c r="AC35" i="32"/>
  <c r="AB35" i="32"/>
  <c r="AA35" i="32"/>
  <c r="Z35" i="32"/>
  <c r="AD34" i="32"/>
  <c r="AC34" i="32"/>
  <c r="AB34" i="32"/>
  <c r="AA34" i="32"/>
  <c r="Z34" i="32"/>
  <c r="AD33" i="32"/>
  <c r="AC33" i="32"/>
  <c r="AB33" i="32"/>
  <c r="AA33" i="32"/>
  <c r="Z33" i="32"/>
  <c r="AD32" i="32"/>
  <c r="AC32" i="32"/>
  <c r="AB32" i="32"/>
  <c r="AA32" i="32"/>
  <c r="Z32" i="32"/>
  <c r="AD31" i="32"/>
  <c r="AC31" i="32"/>
  <c r="AB31" i="32"/>
  <c r="AA31" i="32"/>
  <c r="Z31" i="32"/>
  <c r="AD30" i="32"/>
  <c r="AC30" i="32"/>
  <c r="AB30" i="32"/>
  <c r="AA30" i="32"/>
  <c r="Z30" i="32"/>
  <c r="AD29" i="32"/>
  <c r="AC29" i="32"/>
  <c r="AB29" i="32"/>
  <c r="AA29" i="32"/>
  <c r="Z29" i="32"/>
  <c r="AD28" i="32"/>
  <c r="AC28" i="32"/>
  <c r="AB28" i="32"/>
  <c r="AA28" i="32"/>
  <c r="Z28" i="32"/>
  <c r="AD27" i="32"/>
  <c r="AC27" i="32"/>
  <c r="AB27" i="32"/>
  <c r="AA27" i="32"/>
  <c r="Z27" i="32"/>
  <c r="AD26" i="32"/>
  <c r="AC26" i="32"/>
  <c r="AB26" i="32"/>
  <c r="AA26" i="32"/>
  <c r="Z26" i="32"/>
  <c r="AD25" i="32"/>
  <c r="AC25" i="32"/>
  <c r="AB25" i="32"/>
  <c r="AA25" i="32"/>
  <c r="Z25" i="32"/>
  <c r="AD24" i="32"/>
  <c r="AC24" i="32"/>
  <c r="AB24" i="32"/>
  <c r="AA24" i="32"/>
  <c r="Z24" i="32"/>
  <c r="AD23" i="32"/>
  <c r="AC23" i="32"/>
  <c r="AB23" i="32"/>
  <c r="AA23" i="32"/>
  <c r="Z23" i="32"/>
  <c r="AD22" i="32"/>
  <c r="AC22" i="32"/>
  <c r="AB22" i="32"/>
  <c r="AA22" i="32"/>
  <c r="Z22" i="32"/>
  <c r="AD21" i="32"/>
  <c r="AC21" i="32"/>
  <c r="AB21" i="32"/>
  <c r="AA21" i="32"/>
  <c r="Z21" i="32"/>
  <c r="AD20" i="32"/>
  <c r="AC20" i="32"/>
  <c r="AB20" i="32"/>
  <c r="AA20" i="32"/>
  <c r="Z20" i="32"/>
  <c r="AD19" i="32"/>
  <c r="AC19" i="32"/>
  <c r="AB19" i="32"/>
  <c r="AA19" i="32"/>
  <c r="Z19" i="32"/>
  <c r="AD18" i="32"/>
  <c r="AC18" i="32"/>
  <c r="AB18" i="32"/>
  <c r="AA18" i="32"/>
  <c r="Z18" i="32"/>
  <c r="AD17" i="32"/>
  <c r="AC17" i="32"/>
  <c r="AB17" i="32"/>
  <c r="AA17" i="32"/>
  <c r="Z17" i="32"/>
  <c r="AD16" i="32"/>
  <c r="AC16" i="32"/>
  <c r="AB16" i="32"/>
  <c r="AA16" i="32"/>
  <c r="Z16" i="32"/>
  <c r="AD15" i="32"/>
  <c r="AC15" i="32"/>
  <c r="AB15" i="32"/>
  <c r="AA15" i="32"/>
  <c r="Z15" i="32"/>
  <c r="AD14" i="32"/>
  <c r="AC14" i="32"/>
  <c r="AB14" i="32"/>
  <c r="AA14" i="32"/>
  <c r="Z14" i="32"/>
  <c r="AM39" i="11" l="1"/>
  <c r="U15" i="29" l="1"/>
  <c r="Y15" i="29"/>
  <c r="W13" i="29"/>
  <c r="V13" i="29"/>
  <c r="V14" i="29" s="1"/>
  <c r="V17" i="29" s="1"/>
  <c r="V15" i="29"/>
  <c r="Q15" i="29"/>
  <c r="V16" i="4" l="1"/>
  <c r="U16" i="4"/>
  <c r="V15" i="4"/>
  <c r="U15" i="4"/>
  <c r="U101" i="34" l="1"/>
  <c r="V47" i="32"/>
  <c r="V14" i="32"/>
  <c r="Y142" i="32"/>
  <c r="V142" i="32"/>
  <c r="Q142" i="32"/>
  <c r="Y80" i="32"/>
  <c r="V80" i="32"/>
  <c r="U80" i="32"/>
  <c r="Q80" i="32"/>
  <c r="Q14" i="32"/>
  <c r="U14" i="32" s="1"/>
  <c r="Y59" i="32"/>
  <c r="V59" i="32"/>
  <c r="Q59" i="32"/>
  <c r="V16" i="32"/>
  <c r="V17" i="32" s="1"/>
  <c r="U17" i="4" l="1"/>
  <c r="V13" i="4"/>
  <c r="U13" i="4"/>
  <c r="U20" i="4"/>
  <c r="U19" i="4"/>
  <c r="U18" i="4"/>
  <c r="U14" i="4"/>
  <c r="I41" i="11" l="1"/>
  <c r="I22" i="8"/>
  <c r="T15" i="29" l="1"/>
  <c r="R13" i="29"/>
  <c r="R14" i="29" s="1"/>
  <c r="AD18" i="10" l="1"/>
  <c r="AD17" i="10"/>
  <c r="AD16" i="10"/>
  <c r="AD22" i="10"/>
  <c r="AH23" i="4"/>
  <c r="AH20" i="4"/>
  <c r="AH19" i="4"/>
  <c r="AH18" i="4"/>
  <c r="AH17" i="4"/>
  <c r="AH16" i="4"/>
  <c r="AH15" i="4"/>
  <c r="AH14" i="4"/>
  <c r="AH21" i="4" s="1"/>
  <c r="AG47" i="6"/>
  <c r="AG43" i="6"/>
  <c r="AG44" i="6"/>
  <c r="AG45" i="6"/>
  <c r="AG42" i="6"/>
  <c r="AG41" i="6"/>
  <c r="AG40" i="6"/>
  <c r="AG39" i="6"/>
  <c r="AG38" i="6"/>
  <c r="AG37" i="6"/>
  <c r="AG36" i="6"/>
  <c r="AG35" i="6"/>
  <c r="AG34" i="6"/>
  <c r="AG33" i="6"/>
  <c r="AG32" i="6"/>
  <c r="AG31" i="6"/>
  <c r="AG30" i="6"/>
  <c r="AG29" i="6"/>
  <c r="AG28" i="6"/>
  <c r="AG27" i="6"/>
  <c r="AG26" i="6"/>
  <c r="AG25" i="6"/>
  <c r="AG24" i="6"/>
  <c r="AG23" i="6"/>
  <c r="AG22" i="6"/>
  <c r="AG21" i="6"/>
  <c r="AG20" i="6"/>
  <c r="AG19" i="6"/>
  <c r="AG18" i="6"/>
  <c r="AG17" i="6"/>
  <c r="AG16" i="6"/>
  <c r="AG15" i="6"/>
  <c r="AG14" i="6"/>
  <c r="AG46" i="6" s="1"/>
  <c r="AF13" i="6"/>
  <c r="AI18" i="6"/>
  <c r="M14" i="10" l="1"/>
  <c r="N15" i="4" l="1"/>
  <c r="N19" i="4"/>
  <c r="N17" i="4"/>
  <c r="L98" i="32" l="1"/>
  <c r="L15" i="29"/>
  <c r="M18" i="10"/>
  <c r="M15" i="10"/>
  <c r="M13" i="10"/>
  <c r="AD19" i="10" l="1"/>
  <c r="AI46" i="6" l="1"/>
  <c r="AI33" i="6"/>
  <c r="T33" i="6"/>
  <c r="T38" i="6"/>
  <c r="AI27" i="6"/>
  <c r="T27" i="6"/>
  <c r="T46" i="6" l="1"/>
  <c r="Q46" i="6" l="1"/>
  <c r="T18" i="6" l="1"/>
  <c r="Q13" i="29" l="1"/>
  <c r="Q14" i="29"/>
  <c r="J17" i="11"/>
  <c r="J16" i="11"/>
  <c r="G17" i="11"/>
  <c r="D15" i="11"/>
  <c r="AH12" i="11"/>
  <c r="F14" i="36"/>
  <c r="K14" i="36"/>
  <c r="P14" i="36"/>
  <c r="U14" i="36"/>
  <c r="G15" i="36"/>
  <c r="H15" i="36"/>
  <c r="I15" i="36"/>
  <c r="J15" i="36"/>
  <c r="L15" i="36"/>
  <c r="M15" i="36"/>
  <c r="N15" i="36"/>
  <c r="O15" i="36"/>
  <c r="Q15" i="36"/>
  <c r="R15" i="36"/>
  <c r="S15" i="36"/>
  <c r="T15" i="36"/>
  <c r="V15" i="36"/>
  <c r="W15" i="36"/>
  <c r="X15" i="36"/>
  <c r="Y15" i="36"/>
  <c r="F16" i="36"/>
  <c r="K16" i="36"/>
  <c r="P16" i="36"/>
  <c r="U16" i="36"/>
  <c r="F17" i="36"/>
  <c r="K17" i="36"/>
  <c r="P17" i="36"/>
  <c r="U17" i="36"/>
  <c r="G18" i="36"/>
  <c r="H18" i="36"/>
  <c r="I18" i="36"/>
  <c r="J18" i="36"/>
  <c r="L18" i="36"/>
  <c r="M18" i="36"/>
  <c r="N18" i="36"/>
  <c r="O18" i="36"/>
  <c r="Q18" i="36"/>
  <c r="R18" i="36"/>
  <c r="S18" i="36"/>
  <c r="T18" i="36"/>
  <c r="V18" i="36"/>
  <c r="W18" i="36"/>
  <c r="X18" i="36"/>
  <c r="Y18" i="36"/>
  <c r="F19" i="36"/>
  <c r="K19" i="36"/>
  <c r="P19" i="36"/>
  <c r="U19" i="36"/>
  <c r="G20" i="36"/>
  <c r="H20" i="36"/>
  <c r="I20" i="36"/>
  <c r="J20" i="36"/>
  <c r="L20" i="36"/>
  <c r="M20" i="36"/>
  <c r="N20" i="36"/>
  <c r="O20" i="36"/>
  <c r="Q20" i="36"/>
  <c r="R20" i="36"/>
  <c r="S20" i="36"/>
  <c r="T20" i="36"/>
  <c r="V20" i="36"/>
  <c r="W20" i="36"/>
  <c r="X20" i="36"/>
  <c r="Y20" i="36"/>
  <c r="F21" i="36"/>
  <c r="K21" i="36"/>
  <c r="P21" i="36"/>
  <c r="U21" i="36"/>
  <c r="G22" i="36"/>
  <c r="H22" i="36"/>
  <c r="I22" i="36"/>
  <c r="J22" i="36"/>
  <c r="L22" i="36"/>
  <c r="M22" i="36"/>
  <c r="N22" i="36"/>
  <c r="O22" i="36"/>
  <c r="Q22" i="36"/>
  <c r="R22" i="36"/>
  <c r="S22" i="36"/>
  <c r="T22" i="36"/>
  <c r="V22" i="36"/>
  <c r="W22" i="36"/>
  <c r="X22" i="36"/>
  <c r="Y22" i="36"/>
  <c r="F23" i="36"/>
  <c r="K23" i="36"/>
  <c r="P23" i="36"/>
  <c r="U23" i="36"/>
  <c r="F24" i="36"/>
  <c r="L24" i="36"/>
  <c r="M24" i="36"/>
  <c r="K24" i="36" s="1"/>
  <c r="P24" i="36"/>
  <c r="U24" i="36"/>
  <c r="F25" i="36"/>
  <c r="K25" i="36"/>
  <c r="P25" i="36"/>
  <c r="U25" i="36"/>
  <c r="F26" i="36"/>
  <c r="K26" i="36"/>
  <c r="P26" i="36"/>
  <c r="U26" i="36"/>
  <c r="G27" i="36"/>
  <c r="H27" i="36"/>
  <c r="I27" i="36"/>
  <c r="J27" i="36"/>
  <c r="L27" i="36"/>
  <c r="M27" i="36"/>
  <c r="N27" i="36"/>
  <c r="O27" i="36"/>
  <c r="Q27" i="36"/>
  <c r="R27" i="36"/>
  <c r="S27" i="36"/>
  <c r="T27" i="36"/>
  <c r="V27" i="36"/>
  <c r="W27" i="36"/>
  <c r="X27" i="36"/>
  <c r="Y27" i="36"/>
  <c r="F28" i="36"/>
  <c r="K28" i="36"/>
  <c r="P28" i="36"/>
  <c r="U28" i="36"/>
  <c r="F29" i="36"/>
  <c r="K29" i="36"/>
  <c r="P29" i="36"/>
  <c r="U29" i="36"/>
  <c r="G30" i="36"/>
  <c r="H30" i="36"/>
  <c r="I30" i="36"/>
  <c r="J30" i="36"/>
  <c r="L30" i="36"/>
  <c r="M30" i="36"/>
  <c r="N30" i="36"/>
  <c r="O30" i="36"/>
  <c r="Q30" i="36"/>
  <c r="R30" i="36"/>
  <c r="S30" i="36"/>
  <c r="T30" i="36"/>
  <c r="V30" i="36"/>
  <c r="W30" i="36"/>
  <c r="X30" i="36"/>
  <c r="Y30" i="36"/>
  <c r="F31" i="36"/>
  <c r="K31" i="36"/>
  <c r="P31" i="36"/>
  <c r="U31" i="36"/>
  <c r="F32" i="36"/>
  <c r="K32" i="36"/>
  <c r="P32" i="36"/>
  <c r="U32" i="36"/>
  <c r="F33" i="36"/>
  <c r="K33" i="36"/>
  <c r="P33" i="36"/>
  <c r="U33" i="36"/>
  <c r="G34" i="36"/>
  <c r="H34" i="36"/>
  <c r="I34" i="36"/>
  <c r="J34" i="36"/>
  <c r="L34" i="36"/>
  <c r="M34" i="36"/>
  <c r="N34" i="36"/>
  <c r="O34" i="36"/>
  <c r="Q34" i="36"/>
  <c r="R34" i="36"/>
  <c r="S34" i="36"/>
  <c r="T34" i="36"/>
  <c r="V34" i="36"/>
  <c r="W34" i="36"/>
  <c r="X34" i="36"/>
  <c r="Y34" i="36"/>
  <c r="F35" i="36"/>
  <c r="K35" i="36"/>
  <c r="P35" i="36"/>
  <c r="U35" i="36"/>
  <c r="F36" i="36"/>
  <c r="K36" i="36"/>
  <c r="P36" i="36"/>
  <c r="U36" i="36"/>
  <c r="F37" i="36"/>
  <c r="K37" i="36"/>
  <c r="P37" i="36"/>
  <c r="U37" i="36"/>
  <c r="G38" i="36"/>
  <c r="H38" i="36"/>
  <c r="I38" i="36"/>
  <c r="J38" i="36"/>
  <c r="L38" i="36"/>
  <c r="M38" i="36"/>
  <c r="N38" i="36"/>
  <c r="O38" i="36"/>
  <c r="Q38" i="36"/>
  <c r="R38" i="36"/>
  <c r="S38" i="36"/>
  <c r="T38" i="36"/>
  <c r="V38" i="36"/>
  <c r="W38" i="36"/>
  <c r="X38" i="36"/>
  <c r="Y38" i="36"/>
  <c r="F39" i="36"/>
  <c r="K39" i="36"/>
  <c r="P39" i="36"/>
  <c r="U39" i="36"/>
  <c r="F40" i="36"/>
  <c r="K40" i="36"/>
  <c r="P40" i="36"/>
  <c r="U40" i="36"/>
  <c r="F41" i="36"/>
  <c r="K41" i="36"/>
  <c r="P41" i="36"/>
  <c r="U41" i="36"/>
  <c r="G42" i="36"/>
  <c r="H42" i="36"/>
  <c r="I42" i="36"/>
  <c r="J42" i="36"/>
  <c r="L42" i="36"/>
  <c r="M42" i="36"/>
  <c r="N42" i="36"/>
  <c r="O42" i="36"/>
  <c r="Q42" i="36"/>
  <c r="R42" i="36"/>
  <c r="S42" i="36"/>
  <c r="T42" i="36"/>
  <c r="V42" i="36"/>
  <c r="W42" i="36"/>
  <c r="X42" i="36"/>
  <c r="Y42" i="36"/>
  <c r="F43" i="36"/>
  <c r="K43" i="36"/>
  <c r="P43" i="36"/>
  <c r="U43" i="36"/>
  <c r="G44" i="36"/>
  <c r="H44" i="36"/>
  <c r="I44" i="36"/>
  <c r="J44" i="36"/>
  <c r="L44" i="36"/>
  <c r="M44" i="36"/>
  <c r="N44" i="36"/>
  <c r="O44" i="36"/>
  <c r="Q44" i="36"/>
  <c r="R44" i="36"/>
  <c r="S44" i="36"/>
  <c r="T44" i="36"/>
  <c r="V44" i="36"/>
  <c r="W44" i="36"/>
  <c r="X44" i="36"/>
  <c r="Y44" i="36"/>
  <c r="F45" i="36"/>
  <c r="K45" i="36"/>
  <c r="P45" i="36"/>
  <c r="U45" i="36"/>
  <c r="G46" i="36"/>
  <c r="H46" i="36"/>
  <c r="I46" i="36"/>
  <c r="J46" i="36"/>
  <c r="L46" i="36"/>
  <c r="M46" i="36"/>
  <c r="N46" i="36"/>
  <c r="O46" i="36"/>
  <c r="Q46" i="36"/>
  <c r="R46" i="36"/>
  <c r="S46" i="36"/>
  <c r="T46" i="36"/>
  <c r="V46" i="36"/>
  <c r="W46" i="36"/>
  <c r="X46" i="36"/>
  <c r="Y46" i="36"/>
  <c r="F47" i="36"/>
  <c r="K47" i="36"/>
  <c r="P47" i="36"/>
  <c r="U47" i="36"/>
  <c r="G48" i="36"/>
  <c r="H48" i="36"/>
  <c r="I48" i="36"/>
  <c r="J48" i="36"/>
  <c r="L48" i="36"/>
  <c r="M48" i="36"/>
  <c r="N48" i="36"/>
  <c r="O48" i="36"/>
  <c r="Q48" i="36"/>
  <c r="R48" i="36"/>
  <c r="S48" i="36"/>
  <c r="T48" i="36"/>
  <c r="V48" i="36"/>
  <c r="W48" i="36"/>
  <c r="X48" i="36"/>
  <c r="Y48" i="36"/>
  <c r="F49" i="36"/>
  <c r="K49" i="36"/>
  <c r="P49" i="36"/>
  <c r="U49" i="36"/>
  <c r="G50" i="36"/>
  <c r="H50" i="36"/>
  <c r="I50" i="36"/>
  <c r="J50" i="36"/>
  <c r="L50" i="36"/>
  <c r="M50" i="36"/>
  <c r="N50" i="36"/>
  <c r="O50" i="36"/>
  <c r="Q50" i="36"/>
  <c r="R50" i="36"/>
  <c r="S50" i="36"/>
  <c r="T50" i="36"/>
  <c r="V50" i="36"/>
  <c r="W50" i="36"/>
  <c r="X50" i="36"/>
  <c r="Y50" i="36"/>
  <c r="G51" i="36"/>
  <c r="H51" i="36"/>
  <c r="I51" i="36"/>
  <c r="J51" i="36"/>
  <c r="L51" i="36"/>
  <c r="M51" i="36"/>
  <c r="N51" i="36"/>
  <c r="O51" i="36"/>
  <c r="Q51" i="36"/>
  <c r="R51" i="36"/>
  <c r="S51" i="36"/>
  <c r="T51" i="36"/>
  <c r="V51" i="36"/>
  <c r="W51" i="36"/>
  <c r="X51" i="36"/>
  <c r="Y51" i="36"/>
  <c r="F15" i="35"/>
  <c r="K15" i="35"/>
  <c r="P15" i="35"/>
  <c r="U15" i="35"/>
  <c r="F16" i="35"/>
  <c r="K16" i="35"/>
  <c r="P16" i="35"/>
  <c r="U16" i="35"/>
  <c r="F17" i="35"/>
  <c r="K17" i="35"/>
  <c r="P17" i="35"/>
  <c r="U17" i="35"/>
  <c r="F18" i="35"/>
  <c r="K18" i="35"/>
  <c r="P18" i="35"/>
  <c r="U18" i="35"/>
  <c r="F19" i="35"/>
  <c r="K19" i="35"/>
  <c r="P19" i="35"/>
  <c r="U19" i="35"/>
  <c r="F20" i="35"/>
  <c r="K20" i="35"/>
  <c r="P20" i="35"/>
  <c r="U20" i="35"/>
  <c r="G21" i="35"/>
  <c r="H21" i="35"/>
  <c r="I21" i="35"/>
  <c r="J21" i="35"/>
  <c r="L21" i="35"/>
  <c r="M21" i="35"/>
  <c r="N21" i="35"/>
  <c r="O21" i="35"/>
  <c r="Q21" i="35"/>
  <c r="R21" i="35"/>
  <c r="S21" i="35"/>
  <c r="T21" i="35"/>
  <c r="V21" i="35"/>
  <c r="W21" i="35"/>
  <c r="X21" i="35"/>
  <c r="F22" i="35"/>
  <c r="K22" i="35"/>
  <c r="P22" i="35"/>
  <c r="U22" i="35"/>
  <c r="F23" i="35"/>
  <c r="K23" i="35"/>
  <c r="P23" i="35"/>
  <c r="U23" i="35"/>
  <c r="F24" i="35"/>
  <c r="K24" i="35"/>
  <c r="P24" i="35"/>
  <c r="U24" i="35"/>
  <c r="F25" i="35"/>
  <c r="K25" i="35"/>
  <c r="P25" i="35"/>
  <c r="U25" i="35"/>
  <c r="F26" i="35"/>
  <c r="K26" i="35"/>
  <c r="P26" i="35"/>
  <c r="U26" i="35"/>
  <c r="G27" i="35"/>
  <c r="H27" i="35"/>
  <c r="I27" i="35"/>
  <c r="J27" i="35"/>
  <c r="L27" i="35"/>
  <c r="M27" i="35"/>
  <c r="N27" i="35"/>
  <c r="O27" i="35"/>
  <c r="Q27" i="35"/>
  <c r="R27" i="35"/>
  <c r="S27" i="35"/>
  <c r="T27" i="35"/>
  <c r="V27" i="35"/>
  <c r="W27" i="35"/>
  <c r="X27" i="35"/>
  <c r="Y27" i="35"/>
  <c r="F28" i="35"/>
  <c r="K28" i="35"/>
  <c r="P28" i="35"/>
  <c r="U28" i="35"/>
  <c r="G29" i="35"/>
  <c r="H29" i="35"/>
  <c r="I29" i="35"/>
  <c r="J29" i="35"/>
  <c r="L29" i="35"/>
  <c r="M29" i="35"/>
  <c r="N29" i="35"/>
  <c r="O29" i="35"/>
  <c r="Q29" i="35"/>
  <c r="R29" i="35"/>
  <c r="S29" i="35"/>
  <c r="T29" i="35"/>
  <c r="V29" i="35"/>
  <c r="W29" i="35"/>
  <c r="X29" i="35"/>
  <c r="Y29" i="35"/>
  <c r="F30" i="35"/>
  <c r="K30" i="35"/>
  <c r="P30" i="35"/>
  <c r="U30" i="35"/>
  <c r="F31" i="35"/>
  <c r="K31" i="35"/>
  <c r="P31" i="35"/>
  <c r="U31" i="35"/>
  <c r="G32" i="35"/>
  <c r="H32" i="35"/>
  <c r="I32" i="35"/>
  <c r="J32" i="35"/>
  <c r="L32" i="35"/>
  <c r="M32" i="35"/>
  <c r="N32" i="35"/>
  <c r="O32" i="35"/>
  <c r="Q32" i="35"/>
  <c r="R32" i="35"/>
  <c r="S32" i="35"/>
  <c r="T32" i="35"/>
  <c r="V32" i="35"/>
  <c r="W32" i="35"/>
  <c r="X32" i="35"/>
  <c r="Y32" i="35"/>
  <c r="F33" i="35"/>
  <c r="K33" i="35"/>
  <c r="P33" i="35"/>
  <c r="U33" i="35"/>
  <c r="F34" i="35"/>
  <c r="K34" i="35"/>
  <c r="P34" i="35"/>
  <c r="U34" i="35"/>
  <c r="F35" i="35"/>
  <c r="K35" i="35"/>
  <c r="P35" i="35"/>
  <c r="U35" i="35"/>
  <c r="G36" i="35"/>
  <c r="H36" i="35"/>
  <c r="I36" i="35"/>
  <c r="J36" i="35"/>
  <c r="L36" i="35"/>
  <c r="M36" i="35"/>
  <c r="N36" i="35"/>
  <c r="O36" i="35"/>
  <c r="Q36" i="35"/>
  <c r="R36" i="35"/>
  <c r="S36" i="35"/>
  <c r="T36" i="35"/>
  <c r="V36" i="35"/>
  <c r="W36" i="35"/>
  <c r="X36" i="35"/>
  <c r="Y36" i="35"/>
  <c r="F37" i="35"/>
  <c r="K37" i="35"/>
  <c r="P37" i="35"/>
  <c r="U37" i="35"/>
  <c r="F38" i="35"/>
  <c r="K38" i="35"/>
  <c r="P38" i="35"/>
  <c r="U38" i="35"/>
  <c r="F39" i="35"/>
  <c r="K39" i="35"/>
  <c r="P39" i="35"/>
  <c r="U39" i="35"/>
  <c r="F40" i="35"/>
  <c r="K40" i="35"/>
  <c r="P40" i="35"/>
  <c r="U40" i="35"/>
  <c r="F41" i="35"/>
  <c r="K41" i="35"/>
  <c r="P41" i="35"/>
  <c r="U41" i="35"/>
  <c r="G42" i="35"/>
  <c r="H42" i="35"/>
  <c r="I42" i="35"/>
  <c r="J42" i="35"/>
  <c r="L42" i="35"/>
  <c r="M42" i="35"/>
  <c r="N42" i="35"/>
  <c r="O42" i="35"/>
  <c r="Q42" i="35"/>
  <c r="R42" i="35"/>
  <c r="S42" i="35"/>
  <c r="T42" i="35"/>
  <c r="V42" i="35"/>
  <c r="W42" i="35"/>
  <c r="X42" i="35"/>
  <c r="Y42" i="35"/>
  <c r="F43" i="35"/>
  <c r="K43" i="35"/>
  <c r="P43" i="35"/>
  <c r="U43" i="35"/>
  <c r="G44" i="35"/>
  <c r="H44" i="35"/>
  <c r="I44" i="35"/>
  <c r="J44" i="35"/>
  <c r="L44" i="35"/>
  <c r="M44" i="35"/>
  <c r="N44" i="35"/>
  <c r="O44" i="35"/>
  <c r="Q44" i="35"/>
  <c r="R44" i="35"/>
  <c r="S44" i="35"/>
  <c r="T44" i="35"/>
  <c r="V44" i="35"/>
  <c r="W44" i="35"/>
  <c r="X44" i="35"/>
  <c r="Y44" i="35"/>
  <c r="F45" i="35"/>
  <c r="K45" i="35"/>
  <c r="P45" i="35"/>
  <c r="U45" i="35"/>
  <c r="G46" i="35"/>
  <c r="H46" i="35"/>
  <c r="I46" i="35"/>
  <c r="J46" i="35"/>
  <c r="L46" i="35"/>
  <c r="M46" i="35"/>
  <c r="N46" i="35"/>
  <c r="O46" i="35"/>
  <c r="Q46" i="35"/>
  <c r="R46" i="35"/>
  <c r="S46" i="35"/>
  <c r="T46" i="35"/>
  <c r="V46" i="35"/>
  <c r="W46" i="35"/>
  <c r="X46" i="35"/>
  <c r="Y46" i="35"/>
  <c r="F47" i="35"/>
  <c r="K47" i="35"/>
  <c r="P47" i="35"/>
  <c r="U47" i="35"/>
  <c r="F48" i="35"/>
  <c r="K48" i="35"/>
  <c r="P48" i="35"/>
  <c r="U48" i="35"/>
  <c r="G49" i="35"/>
  <c r="H49" i="35"/>
  <c r="I49" i="35"/>
  <c r="J49" i="35"/>
  <c r="L49" i="35"/>
  <c r="M49" i="35"/>
  <c r="N49" i="35"/>
  <c r="O49" i="35"/>
  <c r="Q49" i="35"/>
  <c r="R49" i="35"/>
  <c r="S49" i="35"/>
  <c r="T49" i="35"/>
  <c r="V49" i="35"/>
  <c r="W49" i="35"/>
  <c r="X49" i="35"/>
  <c r="Y49" i="35"/>
  <c r="F50" i="35"/>
  <c r="K50" i="35"/>
  <c r="P50" i="35"/>
  <c r="U50" i="35"/>
  <c r="G51" i="35"/>
  <c r="H51" i="35"/>
  <c r="I51" i="35"/>
  <c r="J51" i="35"/>
  <c r="L51" i="35"/>
  <c r="M51" i="35"/>
  <c r="N51" i="35"/>
  <c r="O51" i="35"/>
  <c r="Q51" i="35"/>
  <c r="R51" i="35"/>
  <c r="S51" i="35"/>
  <c r="T51" i="35"/>
  <c r="V51" i="35"/>
  <c r="W51" i="35"/>
  <c r="X51" i="35"/>
  <c r="Y51" i="35"/>
  <c r="F52" i="35"/>
  <c r="K52" i="35"/>
  <c r="P52" i="35"/>
  <c r="U52" i="35"/>
  <c r="G53" i="35"/>
  <c r="H53" i="35"/>
  <c r="I53" i="35"/>
  <c r="J53" i="35"/>
  <c r="L53" i="35"/>
  <c r="M53" i="35"/>
  <c r="N53" i="35"/>
  <c r="O53" i="35"/>
  <c r="Q53" i="35"/>
  <c r="R53" i="35"/>
  <c r="S53" i="35"/>
  <c r="T53" i="35"/>
  <c r="V53" i="35"/>
  <c r="W53" i="35"/>
  <c r="X53" i="35"/>
  <c r="Y53" i="35"/>
  <c r="F54" i="35"/>
  <c r="K54" i="35"/>
  <c r="P54" i="35"/>
  <c r="U54" i="35"/>
  <c r="G55" i="35"/>
  <c r="H55" i="35"/>
  <c r="I55" i="35"/>
  <c r="J55" i="35"/>
  <c r="L55" i="35"/>
  <c r="M55" i="35"/>
  <c r="N55" i="35"/>
  <c r="O55" i="35"/>
  <c r="Q55" i="35"/>
  <c r="R55" i="35"/>
  <c r="S55" i="35"/>
  <c r="T55" i="35"/>
  <c r="V55" i="35"/>
  <c r="W55" i="35"/>
  <c r="X55" i="35"/>
  <c r="Y55" i="35"/>
  <c r="F56" i="35"/>
  <c r="K56" i="35"/>
  <c r="P56" i="35"/>
  <c r="U56" i="35"/>
  <c r="G57" i="35"/>
  <c r="H57" i="35"/>
  <c r="I57" i="35"/>
  <c r="J57" i="35"/>
  <c r="L57" i="35"/>
  <c r="M57" i="35"/>
  <c r="N57" i="35"/>
  <c r="O57" i="35"/>
  <c r="Q57" i="35"/>
  <c r="R57" i="35"/>
  <c r="S57" i="35"/>
  <c r="T57" i="35"/>
  <c r="V57" i="35"/>
  <c r="W57" i="35"/>
  <c r="X57" i="35"/>
  <c r="Y57" i="35"/>
  <c r="G58" i="35"/>
  <c r="H58" i="35"/>
  <c r="I58" i="35"/>
  <c r="J58" i="35"/>
  <c r="L58" i="35"/>
  <c r="M58" i="35"/>
  <c r="N58" i="35"/>
  <c r="O58" i="35"/>
  <c r="Q58" i="35"/>
  <c r="R58" i="35"/>
  <c r="S58" i="35"/>
  <c r="T58" i="35"/>
  <c r="V58" i="35"/>
  <c r="W58" i="35"/>
  <c r="X58" i="35"/>
  <c r="Y58" i="35"/>
  <c r="F14" i="34"/>
  <c r="K14" i="34"/>
  <c r="P14" i="34"/>
  <c r="U14" i="34"/>
  <c r="G15" i="34"/>
  <c r="H15" i="34"/>
  <c r="I15" i="34"/>
  <c r="J15" i="34"/>
  <c r="L15" i="34"/>
  <c r="M15" i="34"/>
  <c r="N15" i="34"/>
  <c r="O15" i="34"/>
  <c r="Q15" i="34"/>
  <c r="R15" i="34"/>
  <c r="S15" i="34"/>
  <c r="T15" i="34"/>
  <c r="V15" i="34"/>
  <c r="W15" i="34"/>
  <c r="X15" i="34"/>
  <c r="F16" i="34"/>
  <c r="K16" i="34"/>
  <c r="P16" i="34"/>
  <c r="U16" i="34"/>
  <c r="F17" i="34"/>
  <c r="K17" i="34"/>
  <c r="P17" i="34"/>
  <c r="U17" i="34"/>
  <c r="F18" i="34"/>
  <c r="K18" i="34"/>
  <c r="P18" i="34"/>
  <c r="U18" i="34"/>
  <c r="F19" i="34"/>
  <c r="K19" i="34"/>
  <c r="P19" i="34"/>
  <c r="U19" i="34"/>
  <c r="G20" i="34"/>
  <c r="H20" i="34"/>
  <c r="I20" i="34"/>
  <c r="J20" i="34"/>
  <c r="L20" i="34"/>
  <c r="M20" i="34"/>
  <c r="N20" i="34"/>
  <c r="O20" i="34"/>
  <c r="Q20" i="34"/>
  <c r="R20" i="34"/>
  <c r="S20" i="34"/>
  <c r="T20" i="34"/>
  <c r="V20" i="34"/>
  <c r="W20" i="34"/>
  <c r="X20" i="34"/>
  <c r="Y20" i="34"/>
  <c r="F21" i="34"/>
  <c r="K21" i="34"/>
  <c r="P21" i="34"/>
  <c r="U21" i="34"/>
  <c r="F22" i="34"/>
  <c r="K22" i="34"/>
  <c r="P22" i="34"/>
  <c r="U22" i="34"/>
  <c r="G23" i="34"/>
  <c r="H23" i="34"/>
  <c r="I23" i="34"/>
  <c r="J23" i="34"/>
  <c r="L23" i="34"/>
  <c r="M23" i="34"/>
  <c r="N23" i="34"/>
  <c r="O23" i="34"/>
  <c r="Q23" i="34"/>
  <c r="R23" i="34"/>
  <c r="S23" i="34"/>
  <c r="T23" i="34"/>
  <c r="V23" i="34"/>
  <c r="W23" i="34"/>
  <c r="X23" i="34"/>
  <c r="Y23" i="34"/>
  <c r="F24" i="34"/>
  <c r="K24" i="34"/>
  <c r="P24" i="34"/>
  <c r="U24" i="34"/>
  <c r="G25" i="34"/>
  <c r="H25" i="34"/>
  <c r="I25" i="34"/>
  <c r="J25" i="34"/>
  <c r="L25" i="34"/>
  <c r="M25" i="34"/>
  <c r="N25" i="34"/>
  <c r="O25" i="34"/>
  <c r="Q25" i="34"/>
  <c r="R25" i="34"/>
  <c r="S25" i="34"/>
  <c r="T25" i="34"/>
  <c r="V25" i="34"/>
  <c r="W25" i="34"/>
  <c r="X25" i="34"/>
  <c r="Y25" i="34"/>
  <c r="F26" i="34"/>
  <c r="K26" i="34"/>
  <c r="P26" i="34"/>
  <c r="U26" i="34"/>
  <c r="F27" i="34"/>
  <c r="K27" i="34"/>
  <c r="P27" i="34"/>
  <c r="U27" i="34"/>
  <c r="G28" i="34"/>
  <c r="H28" i="34"/>
  <c r="I28" i="34"/>
  <c r="J28" i="34"/>
  <c r="L28" i="34"/>
  <c r="M28" i="34"/>
  <c r="N28" i="34"/>
  <c r="O28" i="34"/>
  <c r="Q28" i="34"/>
  <c r="R28" i="34"/>
  <c r="S28" i="34"/>
  <c r="T28" i="34"/>
  <c r="V28" i="34"/>
  <c r="W28" i="34"/>
  <c r="X28" i="34"/>
  <c r="Y28" i="34"/>
  <c r="F29" i="34"/>
  <c r="K29" i="34"/>
  <c r="P29" i="34"/>
  <c r="U29" i="34"/>
  <c r="F30" i="34"/>
  <c r="K30" i="34"/>
  <c r="P30" i="34"/>
  <c r="U30" i="34"/>
  <c r="G31" i="34"/>
  <c r="H31" i="34"/>
  <c r="I31" i="34"/>
  <c r="J31" i="34"/>
  <c r="L31" i="34"/>
  <c r="M31" i="34"/>
  <c r="N31" i="34"/>
  <c r="O31" i="34"/>
  <c r="Q31" i="34"/>
  <c r="R31" i="34"/>
  <c r="S31" i="34"/>
  <c r="T31" i="34"/>
  <c r="V31" i="34"/>
  <c r="W31" i="34"/>
  <c r="X31" i="34"/>
  <c r="Y31" i="34"/>
  <c r="F32" i="34"/>
  <c r="K32" i="34"/>
  <c r="P32" i="34"/>
  <c r="U32" i="34"/>
  <c r="F33" i="34"/>
  <c r="K33" i="34"/>
  <c r="P33" i="34"/>
  <c r="U33" i="34"/>
  <c r="G34" i="34"/>
  <c r="H34" i="34"/>
  <c r="I34" i="34"/>
  <c r="J34" i="34"/>
  <c r="L34" i="34"/>
  <c r="M34" i="34"/>
  <c r="N34" i="34"/>
  <c r="O34" i="34"/>
  <c r="Q34" i="34"/>
  <c r="R34" i="34"/>
  <c r="S34" i="34"/>
  <c r="T34" i="34"/>
  <c r="V34" i="34"/>
  <c r="W34" i="34"/>
  <c r="X34" i="34"/>
  <c r="Y34" i="34"/>
  <c r="F35" i="34"/>
  <c r="K35" i="34"/>
  <c r="P35" i="34"/>
  <c r="U35" i="34"/>
  <c r="F36" i="34"/>
  <c r="K36" i="34"/>
  <c r="P36" i="34"/>
  <c r="U36" i="34"/>
  <c r="F37" i="34"/>
  <c r="K37" i="34"/>
  <c r="P37" i="34"/>
  <c r="U37" i="34"/>
  <c r="F38" i="34"/>
  <c r="K38" i="34"/>
  <c r="P38" i="34"/>
  <c r="U38" i="34"/>
  <c r="G39" i="34"/>
  <c r="H39" i="34"/>
  <c r="I39" i="34"/>
  <c r="J39" i="34"/>
  <c r="L39" i="34"/>
  <c r="M39" i="34"/>
  <c r="N39" i="34"/>
  <c r="O39" i="34"/>
  <c r="Q39" i="34"/>
  <c r="R39" i="34"/>
  <c r="S39" i="34"/>
  <c r="T39" i="34"/>
  <c r="V39" i="34"/>
  <c r="W39" i="34"/>
  <c r="X39" i="34"/>
  <c r="Y39" i="34"/>
  <c r="F40" i="34"/>
  <c r="K40" i="34"/>
  <c r="P40" i="34"/>
  <c r="U40" i="34"/>
  <c r="G41" i="34"/>
  <c r="H41" i="34"/>
  <c r="I41" i="34"/>
  <c r="J41" i="34"/>
  <c r="L41" i="34"/>
  <c r="M41" i="34"/>
  <c r="N41" i="34"/>
  <c r="O41" i="34"/>
  <c r="Q41" i="34"/>
  <c r="R41" i="34"/>
  <c r="S41" i="34"/>
  <c r="T41" i="34"/>
  <c r="V41" i="34"/>
  <c r="W41" i="34"/>
  <c r="X41" i="34"/>
  <c r="Y41" i="34"/>
  <c r="F42" i="34"/>
  <c r="K42" i="34"/>
  <c r="P42" i="34"/>
  <c r="F43" i="34"/>
  <c r="K43" i="34"/>
  <c r="P43" i="34"/>
  <c r="U43" i="34"/>
  <c r="G44" i="34"/>
  <c r="H44" i="34"/>
  <c r="I44" i="34"/>
  <c r="J44" i="34"/>
  <c r="L44" i="34"/>
  <c r="M44" i="34"/>
  <c r="N44" i="34"/>
  <c r="O44" i="34"/>
  <c r="Q44" i="34"/>
  <c r="R44" i="34"/>
  <c r="S44" i="34"/>
  <c r="T44" i="34"/>
  <c r="V44" i="34"/>
  <c r="W44" i="34"/>
  <c r="X44" i="34"/>
  <c r="Y44" i="34"/>
  <c r="F45" i="34"/>
  <c r="K45" i="34"/>
  <c r="P45" i="34"/>
  <c r="U45" i="34"/>
  <c r="G46" i="34"/>
  <c r="H46" i="34"/>
  <c r="I46" i="34"/>
  <c r="J46" i="34"/>
  <c r="L46" i="34"/>
  <c r="M46" i="34"/>
  <c r="N46" i="34"/>
  <c r="O46" i="34"/>
  <c r="Q46" i="34"/>
  <c r="R46" i="34"/>
  <c r="S46" i="34"/>
  <c r="T46" i="34"/>
  <c r="V46" i="34"/>
  <c r="W46" i="34"/>
  <c r="X46" i="34"/>
  <c r="Y46" i="34"/>
  <c r="F47" i="34"/>
  <c r="K47" i="34"/>
  <c r="P47" i="34"/>
  <c r="U47" i="34"/>
  <c r="F48" i="34"/>
  <c r="K48" i="34"/>
  <c r="P48" i="34"/>
  <c r="U48" i="34"/>
  <c r="F49" i="34"/>
  <c r="K49" i="34"/>
  <c r="P49" i="34"/>
  <c r="U49" i="34"/>
  <c r="F50" i="34"/>
  <c r="K50" i="34"/>
  <c r="P50" i="34"/>
  <c r="U50" i="34"/>
  <c r="G51" i="34"/>
  <c r="H51" i="34"/>
  <c r="I51" i="34"/>
  <c r="J51" i="34"/>
  <c r="L51" i="34"/>
  <c r="M51" i="34"/>
  <c r="N51" i="34"/>
  <c r="O51" i="34"/>
  <c r="Q51" i="34"/>
  <c r="R51" i="34"/>
  <c r="S51" i="34"/>
  <c r="T51" i="34"/>
  <c r="V51" i="34"/>
  <c r="W51" i="34"/>
  <c r="X51" i="34"/>
  <c r="Y51" i="34"/>
  <c r="F52" i="34"/>
  <c r="K52" i="34"/>
  <c r="P52" i="34"/>
  <c r="U52" i="34"/>
  <c r="F53" i="34"/>
  <c r="K53" i="34"/>
  <c r="P53" i="34"/>
  <c r="U53" i="34"/>
  <c r="F54" i="34"/>
  <c r="K54" i="34"/>
  <c r="P54" i="34"/>
  <c r="U54" i="34"/>
  <c r="G55" i="34"/>
  <c r="H55" i="34"/>
  <c r="I55" i="34"/>
  <c r="J55" i="34"/>
  <c r="L55" i="34"/>
  <c r="M55" i="34"/>
  <c r="N55" i="34"/>
  <c r="O55" i="34"/>
  <c r="Q55" i="34"/>
  <c r="R55" i="34"/>
  <c r="S55" i="34"/>
  <c r="T55" i="34"/>
  <c r="V55" i="34"/>
  <c r="W55" i="34"/>
  <c r="X55" i="34"/>
  <c r="Y55" i="34"/>
  <c r="F56" i="34"/>
  <c r="K56" i="34"/>
  <c r="P56" i="34"/>
  <c r="U56" i="34"/>
  <c r="F57" i="34"/>
  <c r="K57" i="34"/>
  <c r="P57" i="34"/>
  <c r="U57" i="34"/>
  <c r="F58" i="34"/>
  <c r="K58" i="34"/>
  <c r="P58" i="34"/>
  <c r="U58" i="34"/>
  <c r="F59" i="34"/>
  <c r="K59" i="34"/>
  <c r="P59" i="34"/>
  <c r="U59" i="34"/>
  <c r="G60" i="34"/>
  <c r="H60" i="34"/>
  <c r="I60" i="34"/>
  <c r="J60" i="34"/>
  <c r="L60" i="34"/>
  <c r="M60" i="34"/>
  <c r="N60" i="34"/>
  <c r="O60" i="34"/>
  <c r="Q60" i="34"/>
  <c r="R60" i="34"/>
  <c r="S60" i="34"/>
  <c r="T60" i="34"/>
  <c r="V60" i="34"/>
  <c r="W60" i="34"/>
  <c r="X60" i="34"/>
  <c r="Y60" i="34"/>
  <c r="F61" i="34"/>
  <c r="K61" i="34"/>
  <c r="P61" i="34"/>
  <c r="U61" i="34"/>
  <c r="G62" i="34"/>
  <c r="H62" i="34"/>
  <c r="I62" i="34"/>
  <c r="J62" i="34"/>
  <c r="L62" i="34"/>
  <c r="M62" i="34"/>
  <c r="N62" i="34"/>
  <c r="O62" i="34"/>
  <c r="Q62" i="34"/>
  <c r="R62" i="34"/>
  <c r="S62" i="34"/>
  <c r="T62" i="34"/>
  <c r="V62" i="34"/>
  <c r="W62" i="34"/>
  <c r="X62" i="34"/>
  <c r="Y62" i="34"/>
  <c r="F63" i="34"/>
  <c r="L63" i="34"/>
  <c r="M63" i="34"/>
  <c r="P63" i="34"/>
  <c r="U63" i="34"/>
  <c r="G64" i="34"/>
  <c r="H64" i="34"/>
  <c r="I64" i="34"/>
  <c r="J64" i="34"/>
  <c r="L64" i="34"/>
  <c r="M64" i="34"/>
  <c r="N64" i="34"/>
  <c r="O64" i="34"/>
  <c r="Q64" i="34"/>
  <c r="R64" i="34"/>
  <c r="S64" i="34"/>
  <c r="T64" i="34"/>
  <c r="V64" i="34"/>
  <c r="W64" i="34"/>
  <c r="X64" i="34"/>
  <c r="Y64" i="34"/>
  <c r="F65" i="34"/>
  <c r="K65" i="34"/>
  <c r="P65" i="34"/>
  <c r="U65" i="34"/>
  <c r="F66" i="34"/>
  <c r="K66" i="34"/>
  <c r="P66" i="34"/>
  <c r="U66" i="34"/>
  <c r="F67" i="34"/>
  <c r="K67" i="34"/>
  <c r="P67" i="34"/>
  <c r="U67" i="34"/>
  <c r="F68" i="34"/>
  <c r="K68" i="34"/>
  <c r="P68" i="34"/>
  <c r="U68" i="34"/>
  <c r="G69" i="34"/>
  <c r="H69" i="34"/>
  <c r="I69" i="34"/>
  <c r="J69" i="34"/>
  <c r="L69" i="34"/>
  <c r="M69" i="34"/>
  <c r="N69" i="34"/>
  <c r="O69" i="34"/>
  <c r="Q69" i="34"/>
  <c r="R69" i="34"/>
  <c r="S69" i="34"/>
  <c r="T69" i="34"/>
  <c r="V69" i="34"/>
  <c r="W69" i="34"/>
  <c r="X69" i="34"/>
  <c r="Y69" i="34"/>
  <c r="F70" i="34"/>
  <c r="K70" i="34"/>
  <c r="P70" i="34"/>
  <c r="U70" i="34"/>
  <c r="F71" i="34"/>
  <c r="K71" i="34"/>
  <c r="P71" i="34"/>
  <c r="U71" i="34"/>
  <c r="F72" i="34"/>
  <c r="K72" i="34"/>
  <c r="P72" i="34"/>
  <c r="U72" i="34"/>
  <c r="F73" i="34"/>
  <c r="K73" i="34"/>
  <c r="P73" i="34"/>
  <c r="U73" i="34"/>
  <c r="G74" i="34"/>
  <c r="H74" i="34"/>
  <c r="I74" i="34"/>
  <c r="J74" i="34"/>
  <c r="L74" i="34"/>
  <c r="M74" i="34"/>
  <c r="N74" i="34"/>
  <c r="O74" i="34"/>
  <c r="Q74" i="34"/>
  <c r="R74" i="34"/>
  <c r="S74" i="34"/>
  <c r="T74" i="34"/>
  <c r="V74" i="34"/>
  <c r="W74" i="34"/>
  <c r="X74" i="34"/>
  <c r="Y74" i="34"/>
  <c r="F75" i="34"/>
  <c r="K75" i="34"/>
  <c r="P75" i="34"/>
  <c r="U75" i="34"/>
  <c r="F76" i="34"/>
  <c r="K76" i="34"/>
  <c r="P76" i="34"/>
  <c r="U76" i="34"/>
  <c r="F77" i="34"/>
  <c r="K77" i="34"/>
  <c r="P77" i="34"/>
  <c r="U77" i="34"/>
  <c r="G78" i="34"/>
  <c r="H78" i="34"/>
  <c r="I78" i="34"/>
  <c r="J78" i="34"/>
  <c r="L78" i="34"/>
  <c r="M78" i="34"/>
  <c r="N78" i="34"/>
  <c r="O78" i="34"/>
  <c r="Q78" i="34"/>
  <c r="R78" i="34"/>
  <c r="S78" i="34"/>
  <c r="T78" i="34"/>
  <c r="V78" i="34"/>
  <c r="W78" i="34"/>
  <c r="X78" i="34"/>
  <c r="Y78" i="34"/>
  <c r="F79" i="34"/>
  <c r="K79" i="34"/>
  <c r="P79" i="34"/>
  <c r="U79" i="34"/>
  <c r="F80" i="34"/>
  <c r="K80" i="34"/>
  <c r="P80" i="34"/>
  <c r="U80" i="34"/>
  <c r="F81" i="34"/>
  <c r="K81" i="34"/>
  <c r="P81" i="34"/>
  <c r="U81" i="34"/>
  <c r="G82" i="34"/>
  <c r="H82" i="34"/>
  <c r="I82" i="34"/>
  <c r="J82" i="34"/>
  <c r="L82" i="34"/>
  <c r="M82" i="34"/>
  <c r="N82" i="34"/>
  <c r="O82" i="34"/>
  <c r="Q82" i="34"/>
  <c r="R82" i="34"/>
  <c r="S82" i="34"/>
  <c r="T82" i="34"/>
  <c r="V82" i="34"/>
  <c r="W82" i="34"/>
  <c r="X82" i="34"/>
  <c r="Y82" i="34"/>
  <c r="F83" i="34"/>
  <c r="K83" i="34"/>
  <c r="P83" i="34"/>
  <c r="U83" i="34"/>
  <c r="G84" i="34"/>
  <c r="H84" i="34"/>
  <c r="I84" i="34"/>
  <c r="J84" i="34"/>
  <c r="L84" i="34"/>
  <c r="M84" i="34"/>
  <c r="N84" i="34"/>
  <c r="O84" i="34"/>
  <c r="Q84" i="34"/>
  <c r="R84" i="34"/>
  <c r="S84" i="34"/>
  <c r="T84" i="34"/>
  <c r="V84" i="34"/>
  <c r="W84" i="34"/>
  <c r="X84" i="34"/>
  <c r="Y84" i="34"/>
  <c r="F85" i="34"/>
  <c r="K85" i="34"/>
  <c r="P85" i="34"/>
  <c r="U85" i="34"/>
  <c r="G86" i="34"/>
  <c r="H86" i="34"/>
  <c r="I86" i="34"/>
  <c r="J86" i="34"/>
  <c r="L86" i="34"/>
  <c r="M86" i="34"/>
  <c r="N86" i="34"/>
  <c r="O86" i="34"/>
  <c r="Q86" i="34"/>
  <c r="R86" i="34"/>
  <c r="S86" i="34"/>
  <c r="T86" i="34"/>
  <c r="V86" i="34"/>
  <c r="W86" i="34"/>
  <c r="X86" i="34"/>
  <c r="Y86" i="34"/>
  <c r="F87" i="34"/>
  <c r="K87" i="34"/>
  <c r="P87" i="34"/>
  <c r="U87" i="34"/>
  <c r="G88" i="34"/>
  <c r="H88" i="34"/>
  <c r="I88" i="34"/>
  <c r="J88" i="34"/>
  <c r="L88" i="34"/>
  <c r="M88" i="34"/>
  <c r="N88" i="34"/>
  <c r="O88" i="34"/>
  <c r="Q88" i="34"/>
  <c r="R88" i="34"/>
  <c r="S88" i="34"/>
  <c r="T88" i="34"/>
  <c r="V88" i="34"/>
  <c r="W88" i="34"/>
  <c r="X88" i="34"/>
  <c r="Y88" i="34"/>
  <c r="F89" i="34"/>
  <c r="K89" i="34"/>
  <c r="P89" i="34"/>
  <c r="U89" i="34"/>
  <c r="G90" i="34"/>
  <c r="H90" i="34"/>
  <c r="I90" i="34"/>
  <c r="J90" i="34"/>
  <c r="L90" i="34"/>
  <c r="M90" i="34"/>
  <c r="N90" i="34"/>
  <c r="O90" i="34"/>
  <c r="Q90" i="34"/>
  <c r="R90" i="34"/>
  <c r="S90" i="34"/>
  <c r="T90" i="34"/>
  <c r="V90" i="34"/>
  <c r="W90" i="34"/>
  <c r="X90" i="34"/>
  <c r="Y90" i="34"/>
  <c r="F91" i="34"/>
  <c r="K91" i="34"/>
  <c r="P91" i="34"/>
  <c r="U91" i="34"/>
  <c r="G92" i="34"/>
  <c r="H92" i="34"/>
  <c r="I92" i="34"/>
  <c r="J92" i="34"/>
  <c r="L92" i="34"/>
  <c r="M92" i="34"/>
  <c r="N92" i="34"/>
  <c r="O92" i="34"/>
  <c r="Q92" i="34"/>
  <c r="R92" i="34"/>
  <c r="S92" i="34"/>
  <c r="T92" i="34"/>
  <c r="V92" i="34"/>
  <c r="W92" i="34"/>
  <c r="X92" i="34"/>
  <c r="Y92" i="34"/>
  <c r="F93" i="34"/>
  <c r="K93" i="34"/>
  <c r="P93" i="34"/>
  <c r="U93" i="34"/>
  <c r="G94" i="34"/>
  <c r="H94" i="34"/>
  <c r="I94" i="34"/>
  <c r="J94" i="34"/>
  <c r="L94" i="34"/>
  <c r="M94" i="34"/>
  <c r="N94" i="34"/>
  <c r="O94" i="34"/>
  <c r="Q94" i="34"/>
  <c r="R94" i="34"/>
  <c r="S94" i="34"/>
  <c r="T94" i="34"/>
  <c r="V94" i="34"/>
  <c r="W94" i="34"/>
  <c r="X94" i="34"/>
  <c r="Y94" i="34"/>
  <c r="F95" i="34"/>
  <c r="K95" i="34"/>
  <c r="P95" i="34"/>
  <c r="U95" i="34"/>
  <c r="G96" i="34"/>
  <c r="H96" i="34"/>
  <c r="I96" i="34"/>
  <c r="J96" i="34"/>
  <c r="L96" i="34"/>
  <c r="M96" i="34"/>
  <c r="N96" i="34"/>
  <c r="O96" i="34"/>
  <c r="Q96" i="34"/>
  <c r="R96" i="34"/>
  <c r="S96" i="34"/>
  <c r="T96" i="34"/>
  <c r="V96" i="34"/>
  <c r="W96" i="34"/>
  <c r="X96" i="34"/>
  <c r="Y96" i="34"/>
  <c r="F97" i="34"/>
  <c r="K97" i="34"/>
  <c r="P97" i="34"/>
  <c r="U97" i="34"/>
  <c r="G98" i="34"/>
  <c r="H98" i="34"/>
  <c r="I98" i="34"/>
  <c r="J98" i="34"/>
  <c r="L98" i="34"/>
  <c r="M98" i="34"/>
  <c r="N98" i="34"/>
  <c r="O98" i="34"/>
  <c r="Q98" i="34"/>
  <c r="R98" i="34"/>
  <c r="S98" i="34"/>
  <c r="T98" i="34"/>
  <c r="V98" i="34"/>
  <c r="W98" i="34"/>
  <c r="X98" i="34"/>
  <c r="Y98" i="34"/>
  <c r="F99" i="34"/>
  <c r="K99" i="34"/>
  <c r="P99" i="34"/>
  <c r="U99" i="34"/>
  <c r="G100" i="34"/>
  <c r="H100" i="34"/>
  <c r="I100" i="34"/>
  <c r="J100" i="34"/>
  <c r="J101" i="34" s="1"/>
  <c r="D14" i="31" s="1"/>
  <c r="K100" i="34"/>
  <c r="P100" i="34"/>
  <c r="U100" i="34"/>
  <c r="G101" i="34"/>
  <c r="I101" i="34"/>
  <c r="L101" i="34"/>
  <c r="M101" i="34"/>
  <c r="N101" i="34"/>
  <c r="O101" i="34"/>
  <c r="Q101" i="34"/>
  <c r="R101" i="34"/>
  <c r="S101" i="34"/>
  <c r="T101" i="34"/>
  <c r="V101" i="34"/>
  <c r="W101" i="34"/>
  <c r="X101" i="34"/>
  <c r="Y101" i="34"/>
  <c r="F14" i="33"/>
  <c r="K14" i="33"/>
  <c r="P14" i="33"/>
  <c r="U14" i="33"/>
  <c r="F15" i="33"/>
  <c r="K15" i="33"/>
  <c r="P15" i="33"/>
  <c r="U15" i="33"/>
  <c r="G16" i="33"/>
  <c r="H16" i="33"/>
  <c r="I16" i="33"/>
  <c r="J16" i="33"/>
  <c r="L16" i="33"/>
  <c r="M16" i="33"/>
  <c r="N16" i="33"/>
  <c r="O16" i="33"/>
  <c r="Q16" i="33"/>
  <c r="R16" i="33"/>
  <c r="S16" i="33"/>
  <c r="T16" i="33"/>
  <c r="V16" i="33"/>
  <c r="W16" i="33"/>
  <c r="X16" i="33"/>
  <c r="Y16" i="33"/>
  <c r="F17" i="33"/>
  <c r="K17" i="33"/>
  <c r="P17" i="33"/>
  <c r="U17" i="33"/>
  <c r="F18" i="33"/>
  <c r="K18" i="33"/>
  <c r="P18" i="33"/>
  <c r="U18" i="33"/>
  <c r="G19" i="33"/>
  <c r="H19" i="33"/>
  <c r="I19" i="33"/>
  <c r="J19" i="33"/>
  <c r="L19" i="33"/>
  <c r="M19" i="33"/>
  <c r="N19" i="33"/>
  <c r="O19" i="33"/>
  <c r="Q19" i="33"/>
  <c r="R19" i="33"/>
  <c r="S19" i="33"/>
  <c r="T19" i="33"/>
  <c r="V19" i="33"/>
  <c r="W19" i="33"/>
  <c r="X19" i="33"/>
  <c r="Y19" i="33"/>
  <c r="F20" i="33"/>
  <c r="K20" i="33"/>
  <c r="P20" i="33"/>
  <c r="U20" i="33"/>
  <c r="F21" i="33"/>
  <c r="K21" i="33"/>
  <c r="P21" i="33"/>
  <c r="U21" i="33"/>
  <c r="F22" i="33"/>
  <c r="K22" i="33"/>
  <c r="P22" i="33"/>
  <c r="U22" i="33"/>
  <c r="F23" i="33"/>
  <c r="K23" i="33"/>
  <c r="P23" i="33"/>
  <c r="U23" i="33"/>
  <c r="F24" i="33"/>
  <c r="K24" i="33"/>
  <c r="P24" i="33"/>
  <c r="U24" i="33"/>
  <c r="G25" i="33"/>
  <c r="H25" i="33"/>
  <c r="I25" i="33"/>
  <c r="J25" i="33"/>
  <c r="L25" i="33"/>
  <c r="M25" i="33"/>
  <c r="N25" i="33"/>
  <c r="O25" i="33"/>
  <c r="Q25" i="33"/>
  <c r="R25" i="33"/>
  <c r="S25" i="33"/>
  <c r="T25" i="33"/>
  <c r="V25" i="33"/>
  <c r="W25" i="33"/>
  <c r="X25" i="33"/>
  <c r="Y25" i="33"/>
  <c r="F26" i="33"/>
  <c r="K26" i="33"/>
  <c r="P26" i="33"/>
  <c r="U26" i="33"/>
  <c r="F27" i="33"/>
  <c r="K27" i="33"/>
  <c r="P27" i="33"/>
  <c r="U27" i="33"/>
  <c r="F28" i="33"/>
  <c r="K28" i="33"/>
  <c r="P28" i="33"/>
  <c r="U28" i="33"/>
  <c r="F29" i="33"/>
  <c r="K29" i="33"/>
  <c r="P29" i="33"/>
  <c r="U29" i="33"/>
  <c r="F30" i="33"/>
  <c r="K30" i="33"/>
  <c r="P30" i="33"/>
  <c r="U30" i="33"/>
  <c r="F31" i="33"/>
  <c r="K31" i="33"/>
  <c r="P31" i="33"/>
  <c r="U31" i="33"/>
  <c r="G32" i="33"/>
  <c r="H32" i="33"/>
  <c r="I32" i="33"/>
  <c r="J32" i="33"/>
  <c r="L32" i="33"/>
  <c r="M32" i="33"/>
  <c r="N32" i="33"/>
  <c r="O32" i="33"/>
  <c r="Q32" i="33"/>
  <c r="R32" i="33"/>
  <c r="S32" i="33"/>
  <c r="T32" i="33"/>
  <c r="V32" i="33"/>
  <c r="W32" i="33"/>
  <c r="X32" i="33"/>
  <c r="Y32" i="33"/>
  <c r="F33" i="33"/>
  <c r="K33" i="33"/>
  <c r="P33" i="33"/>
  <c r="U33" i="33"/>
  <c r="F34" i="33"/>
  <c r="K34" i="33"/>
  <c r="P34" i="33"/>
  <c r="U34" i="33"/>
  <c r="F35" i="33"/>
  <c r="K35" i="33"/>
  <c r="P35" i="33"/>
  <c r="U35" i="33"/>
  <c r="F36" i="33"/>
  <c r="K36" i="33"/>
  <c r="P36" i="33"/>
  <c r="U36" i="33"/>
  <c r="F37" i="33"/>
  <c r="K37" i="33"/>
  <c r="P37" i="33"/>
  <c r="U37" i="33"/>
  <c r="G38" i="33"/>
  <c r="H38" i="33"/>
  <c r="I38" i="33"/>
  <c r="J38" i="33"/>
  <c r="L38" i="33"/>
  <c r="M38" i="33"/>
  <c r="N38" i="33"/>
  <c r="O38" i="33"/>
  <c r="Q38" i="33"/>
  <c r="R38" i="33"/>
  <c r="S38" i="33"/>
  <c r="T38" i="33"/>
  <c r="V38" i="33"/>
  <c r="W38" i="33"/>
  <c r="X38" i="33"/>
  <c r="Y38" i="33"/>
  <c r="F39" i="33"/>
  <c r="K39" i="33"/>
  <c r="P39" i="33"/>
  <c r="U39" i="33"/>
  <c r="F40" i="33"/>
  <c r="K40" i="33"/>
  <c r="P40" i="33"/>
  <c r="U40" i="33"/>
  <c r="G41" i="33"/>
  <c r="H41" i="33"/>
  <c r="I41" i="33"/>
  <c r="J41" i="33"/>
  <c r="L41" i="33"/>
  <c r="M41" i="33"/>
  <c r="N41" i="33"/>
  <c r="O41" i="33"/>
  <c r="Q41" i="33"/>
  <c r="R41" i="33"/>
  <c r="S41" i="33"/>
  <c r="T41" i="33"/>
  <c r="V41" i="33"/>
  <c r="W41" i="33"/>
  <c r="X41" i="33"/>
  <c r="Y41" i="33"/>
  <c r="F42" i="33"/>
  <c r="K42" i="33"/>
  <c r="P42" i="33"/>
  <c r="U42" i="33"/>
  <c r="F43" i="33"/>
  <c r="K43" i="33"/>
  <c r="P43" i="33"/>
  <c r="U43" i="33"/>
  <c r="G44" i="33"/>
  <c r="H44" i="33"/>
  <c r="I44" i="33"/>
  <c r="J44" i="33"/>
  <c r="L44" i="33"/>
  <c r="M44" i="33"/>
  <c r="N44" i="33"/>
  <c r="O44" i="33"/>
  <c r="Q44" i="33"/>
  <c r="R44" i="33"/>
  <c r="S44" i="33"/>
  <c r="T44" i="33"/>
  <c r="V44" i="33"/>
  <c r="W44" i="33"/>
  <c r="X44" i="33"/>
  <c r="Y44" i="33"/>
  <c r="F45" i="33"/>
  <c r="K45" i="33"/>
  <c r="P45" i="33"/>
  <c r="U45" i="33"/>
  <c r="F46" i="33"/>
  <c r="K46" i="33"/>
  <c r="P46" i="33"/>
  <c r="U46" i="33"/>
  <c r="F47" i="33"/>
  <c r="K47" i="33"/>
  <c r="P47" i="33"/>
  <c r="U47" i="33"/>
  <c r="F48" i="33"/>
  <c r="K48" i="33"/>
  <c r="P48" i="33"/>
  <c r="U48" i="33"/>
  <c r="G49" i="33"/>
  <c r="H49" i="33"/>
  <c r="I49" i="33"/>
  <c r="J49" i="33"/>
  <c r="L49" i="33"/>
  <c r="M49" i="33"/>
  <c r="N49" i="33"/>
  <c r="O49" i="33"/>
  <c r="Q49" i="33"/>
  <c r="R49" i="33"/>
  <c r="S49" i="33"/>
  <c r="T49" i="33"/>
  <c r="V49" i="33"/>
  <c r="W49" i="33"/>
  <c r="X49" i="33"/>
  <c r="Y49" i="33"/>
  <c r="F50" i="33"/>
  <c r="K50" i="33"/>
  <c r="P50" i="33"/>
  <c r="U50" i="33"/>
  <c r="F51" i="33"/>
  <c r="K51" i="33"/>
  <c r="P51" i="33"/>
  <c r="U51" i="33"/>
  <c r="F52" i="33"/>
  <c r="K52" i="33"/>
  <c r="P52" i="33"/>
  <c r="U52" i="33"/>
  <c r="F53" i="33"/>
  <c r="K53" i="33"/>
  <c r="P53" i="33"/>
  <c r="U53" i="33"/>
  <c r="F54" i="33"/>
  <c r="K54" i="33"/>
  <c r="P54" i="33"/>
  <c r="U54" i="33"/>
  <c r="G55" i="33"/>
  <c r="H55" i="33"/>
  <c r="I55" i="33"/>
  <c r="J55" i="33"/>
  <c r="L55" i="33"/>
  <c r="M55" i="33"/>
  <c r="N55" i="33"/>
  <c r="O55" i="33"/>
  <c r="Q55" i="33"/>
  <c r="R55" i="33"/>
  <c r="S55" i="33"/>
  <c r="T55" i="33"/>
  <c r="V55" i="33"/>
  <c r="W55" i="33"/>
  <c r="X55" i="33"/>
  <c r="Y55" i="33"/>
  <c r="F56" i="33"/>
  <c r="K56" i="33"/>
  <c r="P56" i="33"/>
  <c r="U56" i="33"/>
  <c r="G57" i="33"/>
  <c r="H57" i="33"/>
  <c r="I57" i="33"/>
  <c r="J57" i="33"/>
  <c r="L57" i="33"/>
  <c r="M57" i="33"/>
  <c r="N57" i="33"/>
  <c r="O57" i="33"/>
  <c r="Q57" i="33"/>
  <c r="R57" i="33"/>
  <c r="S57" i="33"/>
  <c r="T57" i="33"/>
  <c r="V57" i="33"/>
  <c r="W57" i="33"/>
  <c r="X57" i="33"/>
  <c r="Y57" i="33"/>
  <c r="F58" i="33"/>
  <c r="K58" i="33"/>
  <c r="P58" i="33"/>
  <c r="U58" i="33"/>
  <c r="F59" i="33"/>
  <c r="K59" i="33"/>
  <c r="P59" i="33"/>
  <c r="U59" i="33"/>
  <c r="F60" i="33"/>
  <c r="K60" i="33"/>
  <c r="P60" i="33"/>
  <c r="U60" i="33"/>
  <c r="G61" i="33"/>
  <c r="H61" i="33"/>
  <c r="I61" i="33"/>
  <c r="J61" i="33"/>
  <c r="L61" i="33"/>
  <c r="M61" i="33"/>
  <c r="N61" i="33"/>
  <c r="O61" i="33"/>
  <c r="Q61" i="33"/>
  <c r="R61" i="33"/>
  <c r="S61" i="33"/>
  <c r="T61" i="33"/>
  <c r="V61" i="33"/>
  <c r="W61" i="33"/>
  <c r="X61" i="33"/>
  <c r="Y61" i="33"/>
  <c r="F62" i="33"/>
  <c r="K62" i="33"/>
  <c r="P62" i="33"/>
  <c r="U62" i="33"/>
  <c r="G63" i="33"/>
  <c r="H63" i="33"/>
  <c r="I63" i="33"/>
  <c r="J63" i="33"/>
  <c r="L63" i="33"/>
  <c r="M63" i="33"/>
  <c r="N63" i="33"/>
  <c r="O63" i="33"/>
  <c r="Q63" i="33"/>
  <c r="R63" i="33"/>
  <c r="S63" i="33"/>
  <c r="T63" i="33"/>
  <c r="V63" i="33"/>
  <c r="W63" i="33"/>
  <c r="X63" i="33"/>
  <c r="Y63" i="33"/>
  <c r="F64" i="33"/>
  <c r="K64" i="33"/>
  <c r="P64" i="33"/>
  <c r="U64" i="33"/>
  <c r="F65" i="33"/>
  <c r="K65" i="33"/>
  <c r="P65" i="33"/>
  <c r="U65" i="33"/>
  <c r="F66" i="33"/>
  <c r="K66" i="33"/>
  <c r="P66" i="33"/>
  <c r="U66" i="33"/>
  <c r="G67" i="33"/>
  <c r="H67" i="33"/>
  <c r="I67" i="33"/>
  <c r="J67" i="33"/>
  <c r="L67" i="33"/>
  <c r="M67" i="33"/>
  <c r="N67" i="33"/>
  <c r="O67" i="33"/>
  <c r="Q67" i="33"/>
  <c r="R67" i="33"/>
  <c r="S67" i="33"/>
  <c r="T67" i="33"/>
  <c r="V67" i="33"/>
  <c r="W67" i="33"/>
  <c r="X67" i="33"/>
  <c r="Y67" i="33"/>
  <c r="F68" i="33"/>
  <c r="K68" i="33"/>
  <c r="P68" i="33"/>
  <c r="U68" i="33"/>
  <c r="G69" i="33"/>
  <c r="H69" i="33"/>
  <c r="I69" i="33"/>
  <c r="J69" i="33"/>
  <c r="L69" i="33"/>
  <c r="M69" i="33"/>
  <c r="N69" i="33"/>
  <c r="O69" i="33"/>
  <c r="Q69" i="33"/>
  <c r="R69" i="33"/>
  <c r="S69" i="33"/>
  <c r="T69" i="33"/>
  <c r="V69" i="33"/>
  <c r="W69" i="33"/>
  <c r="X69" i="33"/>
  <c r="Y69" i="33"/>
  <c r="F70" i="33"/>
  <c r="K70" i="33"/>
  <c r="P70" i="33"/>
  <c r="U70" i="33"/>
  <c r="F71" i="33"/>
  <c r="K71" i="33"/>
  <c r="P71" i="33"/>
  <c r="U71" i="33"/>
  <c r="F72" i="33"/>
  <c r="K72" i="33"/>
  <c r="P72" i="33"/>
  <c r="U72" i="33"/>
  <c r="G73" i="33"/>
  <c r="H73" i="33"/>
  <c r="I73" i="33"/>
  <c r="J73" i="33"/>
  <c r="L73" i="33"/>
  <c r="M73" i="33"/>
  <c r="N73" i="33"/>
  <c r="O73" i="33"/>
  <c r="Q73" i="33"/>
  <c r="R73" i="33"/>
  <c r="S73" i="33"/>
  <c r="T73" i="33"/>
  <c r="V73" i="33"/>
  <c r="W73" i="33"/>
  <c r="X73" i="33"/>
  <c r="Y73" i="33"/>
  <c r="F74" i="33"/>
  <c r="K74" i="33"/>
  <c r="P74" i="33"/>
  <c r="U74" i="33"/>
  <c r="F75" i="33"/>
  <c r="K75" i="33"/>
  <c r="P75" i="33"/>
  <c r="U75" i="33"/>
  <c r="F76" i="33"/>
  <c r="K76" i="33"/>
  <c r="P76" i="33"/>
  <c r="U76" i="33"/>
  <c r="G77" i="33"/>
  <c r="H77" i="33"/>
  <c r="I77" i="33"/>
  <c r="J77" i="33"/>
  <c r="L77" i="33"/>
  <c r="M77" i="33"/>
  <c r="N77" i="33"/>
  <c r="O77" i="33"/>
  <c r="Q77" i="33"/>
  <c r="R77" i="33"/>
  <c r="S77" i="33"/>
  <c r="T77" i="33"/>
  <c r="V77" i="33"/>
  <c r="W77" i="33"/>
  <c r="X77" i="33"/>
  <c r="Y77" i="33"/>
  <c r="F78" i="33"/>
  <c r="K78" i="33"/>
  <c r="P78" i="33"/>
  <c r="U78" i="33"/>
  <c r="F79" i="33"/>
  <c r="K79" i="33"/>
  <c r="P79" i="33"/>
  <c r="U79" i="33"/>
  <c r="F80" i="33"/>
  <c r="K80" i="33"/>
  <c r="P80" i="33"/>
  <c r="U80" i="33"/>
  <c r="G81" i="33"/>
  <c r="H81" i="33"/>
  <c r="I81" i="33"/>
  <c r="J81" i="33"/>
  <c r="L81" i="33"/>
  <c r="M81" i="33"/>
  <c r="N81" i="33"/>
  <c r="O81" i="33"/>
  <c r="Q81" i="33"/>
  <c r="R81" i="33"/>
  <c r="S81" i="33"/>
  <c r="T81" i="33"/>
  <c r="V81" i="33"/>
  <c r="W81" i="33"/>
  <c r="X81" i="33"/>
  <c r="Y81" i="33"/>
  <c r="F82" i="33"/>
  <c r="K82" i="33"/>
  <c r="P82" i="33"/>
  <c r="U82" i="33"/>
  <c r="G83" i="33"/>
  <c r="H83" i="33"/>
  <c r="I83" i="33"/>
  <c r="J83" i="33"/>
  <c r="L83" i="33"/>
  <c r="M83" i="33"/>
  <c r="N83" i="33"/>
  <c r="O83" i="33"/>
  <c r="Q83" i="33"/>
  <c r="R83" i="33"/>
  <c r="S83" i="33"/>
  <c r="T83" i="33"/>
  <c r="V83" i="33"/>
  <c r="W83" i="33"/>
  <c r="X83" i="33"/>
  <c r="Y83" i="33"/>
  <c r="F84" i="33"/>
  <c r="K84" i="33"/>
  <c r="P84" i="33"/>
  <c r="U84" i="33"/>
  <c r="F85" i="33"/>
  <c r="K85" i="33"/>
  <c r="P85" i="33"/>
  <c r="U85" i="33"/>
  <c r="F86" i="33"/>
  <c r="K86" i="33"/>
  <c r="P86" i="33"/>
  <c r="U86" i="33"/>
  <c r="F87" i="33"/>
  <c r="K87" i="33"/>
  <c r="P87" i="33"/>
  <c r="U87" i="33"/>
  <c r="F88" i="33"/>
  <c r="K88" i="33"/>
  <c r="P88" i="33"/>
  <c r="U88" i="33"/>
  <c r="G89" i="33"/>
  <c r="H89" i="33"/>
  <c r="I89" i="33"/>
  <c r="J89" i="33"/>
  <c r="L89" i="33"/>
  <c r="M89" i="33"/>
  <c r="N89" i="33"/>
  <c r="O89" i="33"/>
  <c r="Q89" i="33"/>
  <c r="R89" i="33"/>
  <c r="S89" i="33"/>
  <c r="T89" i="33"/>
  <c r="V89" i="33"/>
  <c r="W89" i="33"/>
  <c r="X89" i="33"/>
  <c r="Y89" i="33"/>
  <c r="F90" i="33"/>
  <c r="K90" i="33"/>
  <c r="P90" i="33"/>
  <c r="U90" i="33"/>
  <c r="G91" i="33"/>
  <c r="H91" i="33"/>
  <c r="I91" i="33"/>
  <c r="J91" i="33"/>
  <c r="L91" i="33"/>
  <c r="M91" i="33"/>
  <c r="N91" i="33"/>
  <c r="O91" i="33"/>
  <c r="Q91" i="33"/>
  <c r="R91" i="33"/>
  <c r="S91" i="33"/>
  <c r="T91" i="33"/>
  <c r="V91" i="33"/>
  <c r="W91" i="33"/>
  <c r="X91" i="33"/>
  <c r="Y91" i="33"/>
  <c r="F92" i="33"/>
  <c r="K92" i="33"/>
  <c r="P92" i="33"/>
  <c r="U92" i="33"/>
  <c r="G93" i="33"/>
  <c r="H93" i="33"/>
  <c r="I93" i="33"/>
  <c r="J93" i="33"/>
  <c r="L93" i="33"/>
  <c r="M93" i="33"/>
  <c r="N93" i="33"/>
  <c r="O93" i="33"/>
  <c r="Q93" i="33"/>
  <c r="R93" i="33"/>
  <c r="S93" i="33"/>
  <c r="T93" i="33"/>
  <c r="V93" i="33"/>
  <c r="W93" i="33"/>
  <c r="X93" i="33"/>
  <c r="Y93" i="33"/>
  <c r="F94" i="33"/>
  <c r="K94" i="33"/>
  <c r="P94" i="33"/>
  <c r="U94" i="33"/>
  <c r="G95" i="33"/>
  <c r="H95" i="33"/>
  <c r="I95" i="33"/>
  <c r="J95" i="33"/>
  <c r="L95" i="33"/>
  <c r="M95" i="33"/>
  <c r="N95" i="33"/>
  <c r="O95" i="33"/>
  <c r="Q95" i="33"/>
  <c r="R95" i="33"/>
  <c r="S95" i="33"/>
  <c r="T95" i="33"/>
  <c r="V95" i="33"/>
  <c r="W95" i="33"/>
  <c r="X95" i="33"/>
  <c r="Y95" i="33"/>
  <c r="F96" i="33"/>
  <c r="K96" i="33"/>
  <c r="P96" i="33"/>
  <c r="U96" i="33"/>
  <c r="G97" i="33"/>
  <c r="H97" i="33"/>
  <c r="I97" i="33"/>
  <c r="J97" i="33"/>
  <c r="L97" i="33"/>
  <c r="M97" i="33"/>
  <c r="N97" i="33"/>
  <c r="O97" i="33"/>
  <c r="Q97" i="33"/>
  <c r="R97" i="33"/>
  <c r="S97" i="33"/>
  <c r="T97" i="33"/>
  <c r="V97" i="33"/>
  <c r="W97" i="33"/>
  <c r="X97" i="33"/>
  <c r="Y97" i="33"/>
  <c r="G98" i="33"/>
  <c r="H98" i="33"/>
  <c r="I98" i="33"/>
  <c r="J98" i="33"/>
  <c r="L98" i="33"/>
  <c r="M98" i="33"/>
  <c r="N98" i="33"/>
  <c r="O98" i="33"/>
  <c r="Q98" i="33"/>
  <c r="R98" i="33"/>
  <c r="S98" i="33"/>
  <c r="T98" i="33"/>
  <c r="V98" i="33"/>
  <c r="W98" i="33"/>
  <c r="X98" i="33"/>
  <c r="Y98" i="33"/>
  <c r="F14" i="32"/>
  <c r="L14" i="32"/>
  <c r="K14" i="32" s="1"/>
  <c r="P14" i="32"/>
  <c r="G15" i="32"/>
  <c r="H15" i="32"/>
  <c r="I15" i="32"/>
  <c r="J15" i="32"/>
  <c r="L15" i="32"/>
  <c r="M15" i="32"/>
  <c r="N15" i="32"/>
  <c r="O15" i="32"/>
  <c r="Q15" i="32"/>
  <c r="R15" i="32"/>
  <c r="S15" i="32"/>
  <c r="T15" i="32"/>
  <c r="V15" i="32"/>
  <c r="W15" i="32"/>
  <c r="X15" i="32"/>
  <c r="Y15" i="32"/>
  <c r="F16" i="32"/>
  <c r="K16" i="32"/>
  <c r="P16" i="32"/>
  <c r="U16" i="32"/>
  <c r="G17" i="32"/>
  <c r="H17" i="32"/>
  <c r="I17" i="32"/>
  <c r="J17" i="32"/>
  <c r="L17" i="32"/>
  <c r="M17" i="32"/>
  <c r="N17" i="32"/>
  <c r="O17" i="32"/>
  <c r="Q17" i="32"/>
  <c r="R17" i="32"/>
  <c r="S17" i="32"/>
  <c r="T17" i="32"/>
  <c r="W17" i="32"/>
  <c r="X17" i="32"/>
  <c r="Y17" i="32"/>
  <c r="F18" i="32"/>
  <c r="K18" i="32"/>
  <c r="P18" i="32"/>
  <c r="U18" i="32"/>
  <c r="F19" i="32"/>
  <c r="K19" i="32"/>
  <c r="P19" i="32"/>
  <c r="U19" i="32"/>
  <c r="G20" i="32"/>
  <c r="H20" i="32"/>
  <c r="I20" i="32"/>
  <c r="J20" i="32"/>
  <c r="L20" i="32"/>
  <c r="M20" i="32"/>
  <c r="N20" i="32"/>
  <c r="O20" i="32"/>
  <c r="Q20" i="32"/>
  <c r="R20" i="32"/>
  <c r="S20" i="32"/>
  <c r="T20" i="32"/>
  <c r="V20" i="32"/>
  <c r="W20" i="32"/>
  <c r="X20" i="32"/>
  <c r="Y20" i="32"/>
  <c r="F21" i="32"/>
  <c r="K21" i="32"/>
  <c r="P21" i="32"/>
  <c r="U21" i="32"/>
  <c r="F22" i="32"/>
  <c r="K22" i="32"/>
  <c r="P22" i="32"/>
  <c r="U22" i="32"/>
  <c r="F23" i="32"/>
  <c r="K23" i="32"/>
  <c r="P23" i="32"/>
  <c r="U23" i="32"/>
  <c r="F24" i="32"/>
  <c r="K24" i="32"/>
  <c r="P24" i="32"/>
  <c r="U24" i="32"/>
  <c r="F25" i="32"/>
  <c r="K25" i="32"/>
  <c r="P25" i="32"/>
  <c r="U25" i="32"/>
  <c r="G26" i="32"/>
  <c r="H26" i="32"/>
  <c r="I26" i="32"/>
  <c r="J26" i="32"/>
  <c r="L26" i="32"/>
  <c r="M26" i="32"/>
  <c r="N26" i="32"/>
  <c r="O26" i="32"/>
  <c r="Q26" i="32"/>
  <c r="R26" i="32"/>
  <c r="S26" i="32"/>
  <c r="T26" i="32"/>
  <c r="V26" i="32"/>
  <c r="W26" i="32"/>
  <c r="X26" i="32"/>
  <c r="Y26" i="32"/>
  <c r="F27" i="32"/>
  <c r="K27" i="32"/>
  <c r="P27" i="32"/>
  <c r="U27" i="32"/>
  <c r="F28" i="32"/>
  <c r="K28" i="32"/>
  <c r="P28" i="32"/>
  <c r="U28" i="32"/>
  <c r="F29" i="32"/>
  <c r="K29" i="32"/>
  <c r="P29" i="32"/>
  <c r="U29" i="32"/>
  <c r="F30" i="32"/>
  <c r="K30" i="32"/>
  <c r="P30" i="32"/>
  <c r="U30" i="32"/>
  <c r="F31" i="32"/>
  <c r="K31" i="32"/>
  <c r="P31" i="32"/>
  <c r="U31" i="32"/>
  <c r="F32" i="32"/>
  <c r="K32" i="32"/>
  <c r="P32" i="32"/>
  <c r="U32" i="32"/>
  <c r="G33" i="32"/>
  <c r="H33" i="32"/>
  <c r="I33" i="32"/>
  <c r="J33" i="32"/>
  <c r="L33" i="32"/>
  <c r="M33" i="32"/>
  <c r="N33" i="32"/>
  <c r="O33" i="32"/>
  <c r="Q33" i="32"/>
  <c r="R33" i="32"/>
  <c r="S33" i="32"/>
  <c r="T33" i="32"/>
  <c r="V33" i="32"/>
  <c r="W33" i="32"/>
  <c r="X33" i="32"/>
  <c r="Y33" i="32"/>
  <c r="F34" i="32"/>
  <c r="K34" i="32"/>
  <c r="P34" i="32"/>
  <c r="U34" i="32"/>
  <c r="F35" i="32"/>
  <c r="K35" i="32"/>
  <c r="P35" i="32"/>
  <c r="U35" i="32"/>
  <c r="F36" i="32"/>
  <c r="K36" i="32"/>
  <c r="P36" i="32"/>
  <c r="U36" i="32"/>
  <c r="F37" i="32"/>
  <c r="K37" i="32"/>
  <c r="P37" i="32"/>
  <c r="U37" i="32"/>
  <c r="F38" i="32"/>
  <c r="K38" i="32"/>
  <c r="P38" i="32"/>
  <c r="U38" i="32"/>
  <c r="F39" i="32"/>
  <c r="K39" i="32"/>
  <c r="P39" i="32"/>
  <c r="U39" i="32"/>
  <c r="G40" i="32"/>
  <c r="H40" i="32"/>
  <c r="I40" i="32"/>
  <c r="J40" i="32"/>
  <c r="L40" i="32"/>
  <c r="M40" i="32"/>
  <c r="N40" i="32"/>
  <c r="O40" i="32"/>
  <c r="Q40" i="32"/>
  <c r="R40" i="32"/>
  <c r="S40" i="32"/>
  <c r="T40" i="32"/>
  <c r="V40" i="32"/>
  <c r="W40" i="32"/>
  <c r="X40" i="32"/>
  <c r="Y40" i="32"/>
  <c r="F41" i="32"/>
  <c r="K41" i="32"/>
  <c r="P41" i="32"/>
  <c r="U41" i="32"/>
  <c r="F42" i="32"/>
  <c r="K42" i="32"/>
  <c r="P42" i="32"/>
  <c r="U42" i="32"/>
  <c r="F43" i="32"/>
  <c r="K43" i="32"/>
  <c r="P43" i="32"/>
  <c r="U43" i="32"/>
  <c r="G44" i="32"/>
  <c r="H44" i="32"/>
  <c r="I44" i="32"/>
  <c r="J44" i="32"/>
  <c r="L44" i="32"/>
  <c r="M44" i="32"/>
  <c r="N44" i="32"/>
  <c r="O44" i="32"/>
  <c r="Q44" i="32"/>
  <c r="R44" i="32"/>
  <c r="S44" i="32"/>
  <c r="T44" i="32"/>
  <c r="V44" i="32"/>
  <c r="W44" i="32"/>
  <c r="X44" i="32"/>
  <c r="Y44" i="32"/>
  <c r="F45" i="32"/>
  <c r="K45" i="32"/>
  <c r="P45" i="32"/>
  <c r="U45" i="32"/>
  <c r="G46" i="32"/>
  <c r="H46" i="32"/>
  <c r="I46" i="32"/>
  <c r="J46" i="32"/>
  <c r="L46" i="32"/>
  <c r="M46" i="32"/>
  <c r="N46" i="32"/>
  <c r="O46" i="32"/>
  <c r="Q46" i="32"/>
  <c r="R46" i="32"/>
  <c r="S46" i="32"/>
  <c r="T46" i="32"/>
  <c r="V46" i="32"/>
  <c r="W46" i="32"/>
  <c r="X46" i="32"/>
  <c r="Y46" i="32"/>
  <c r="F47" i="32"/>
  <c r="K47" i="32"/>
  <c r="P47" i="32"/>
  <c r="U47" i="32"/>
  <c r="G48" i="32"/>
  <c r="H48" i="32"/>
  <c r="I48" i="32"/>
  <c r="J48" i="32"/>
  <c r="L48" i="32"/>
  <c r="M48" i="32"/>
  <c r="N48" i="32"/>
  <c r="O48" i="32"/>
  <c r="Q48" i="32"/>
  <c r="R48" i="32"/>
  <c r="S48" i="32"/>
  <c r="T48" i="32"/>
  <c r="V48" i="32"/>
  <c r="W48" i="32"/>
  <c r="X48" i="32"/>
  <c r="Y48" i="32"/>
  <c r="F49" i="32"/>
  <c r="K49" i="32"/>
  <c r="P49" i="32"/>
  <c r="U49" i="32"/>
  <c r="F50" i="32"/>
  <c r="K50" i="32"/>
  <c r="P50" i="32"/>
  <c r="U50" i="32"/>
  <c r="F51" i="32"/>
  <c r="K51" i="32"/>
  <c r="P51" i="32"/>
  <c r="U51" i="32"/>
  <c r="G52" i="32"/>
  <c r="H52" i="32"/>
  <c r="I52" i="32"/>
  <c r="J52" i="32"/>
  <c r="L52" i="32"/>
  <c r="M52" i="32"/>
  <c r="N52" i="32"/>
  <c r="O52" i="32"/>
  <c r="Q52" i="32"/>
  <c r="R52" i="32"/>
  <c r="S52" i="32"/>
  <c r="T52" i="32"/>
  <c r="V52" i="32"/>
  <c r="W52" i="32"/>
  <c r="X52" i="32"/>
  <c r="Y52" i="32"/>
  <c r="F53" i="32"/>
  <c r="K53" i="32"/>
  <c r="P53" i="32"/>
  <c r="U53" i="32"/>
  <c r="F54" i="32"/>
  <c r="K54" i="32"/>
  <c r="P54" i="32"/>
  <c r="U54" i="32"/>
  <c r="G55" i="32"/>
  <c r="H55" i="32"/>
  <c r="I55" i="32"/>
  <c r="J55" i="32"/>
  <c r="L55" i="32"/>
  <c r="M55" i="32"/>
  <c r="N55" i="32"/>
  <c r="O55" i="32"/>
  <c r="Q55" i="32"/>
  <c r="R55" i="32"/>
  <c r="S55" i="32"/>
  <c r="T55" i="32"/>
  <c r="V55" i="32"/>
  <c r="W55" i="32"/>
  <c r="X55" i="32"/>
  <c r="Y55" i="32"/>
  <c r="F56" i="32"/>
  <c r="K56" i="32"/>
  <c r="P56" i="32"/>
  <c r="U56" i="32"/>
  <c r="F57" i="32"/>
  <c r="K57" i="32"/>
  <c r="P57" i="32"/>
  <c r="U57" i="32"/>
  <c r="G58" i="32"/>
  <c r="H58" i="32"/>
  <c r="I58" i="32"/>
  <c r="J58" i="32"/>
  <c r="L58" i="32"/>
  <c r="M58" i="32"/>
  <c r="N58" i="32"/>
  <c r="O58" i="32"/>
  <c r="Q58" i="32"/>
  <c r="R58" i="32"/>
  <c r="S58" i="32"/>
  <c r="T58" i="32"/>
  <c r="V58" i="32"/>
  <c r="W58" i="32"/>
  <c r="X58" i="32"/>
  <c r="Y58" i="32"/>
  <c r="F59" i="32"/>
  <c r="K59" i="32"/>
  <c r="P59" i="32"/>
  <c r="U59" i="32"/>
  <c r="F60" i="32"/>
  <c r="K60" i="32"/>
  <c r="P60" i="32"/>
  <c r="U60" i="32"/>
  <c r="G61" i="32"/>
  <c r="H61" i="32"/>
  <c r="I61" i="32"/>
  <c r="J61" i="32"/>
  <c r="L61" i="32"/>
  <c r="M61" i="32"/>
  <c r="N61" i="32"/>
  <c r="O61" i="32"/>
  <c r="Q61" i="32"/>
  <c r="R61" i="32"/>
  <c r="S61" i="32"/>
  <c r="T61" i="32"/>
  <c r="V61" i="32"/>
  <c r="W61" i="32"/>
  <c r="X61" i="32"/>
  <c r="Y61" i="32"/>
  <c r="F62" i="32"/>
  <c r="L62" i="32"/>
  <c r="M62" i="32"/>
  <c r="P62" i="32"/>
  <c r="U62" i="32"/>
  <c r="G63" i="32"/>
  <c r="H63" i="32"/>
  <c r="I63" i="32"/>
  <c r="J63" i="32"/>
  <c r="L63" i="32"/>
  <c r="M63" i="32"/>
  <c r="N63" i="32"/>
  <c r="O63" i="32"/>
  <c r="Q63" i="32"/>
  <c r="R63" i="32"/>
  <c r="S63" i="32"/>
  <c r="T63" i="32"/>
  <c r="V63" i="32"/>
  <c r="W63" i="32"/>
  <c r="X63" i="32"/>
  <c r="Y63" i="32"/>
  <c r="F64" i="32"/>
  <c r="K64" i="32"/>
  <c r="P64" i="32"/>
  <c r="U64" i="32"/>
  <c r="G65" i="32"/>
  <c r="H65" i="32"/>
  <c r="I65" i="32"/>
  <c r="J65" i="32"/>
  <c r="L65" i="32"/>
  <c r="M65" i="32"/>
  <c r="N65" i="32"/>
  <c r="O65" i="32"/>
  <c r="Q65" i="32"/>
  <c r="R65" i="32"/>
  <c r="S65" i="32"/>
  <c r="T65" i="32"/>
  <c r="V65" i="32"/>
  <c r="W65" i="32"/>
  <c r="X65" i="32"/>
  <c r="Y65" i="32"/>
  <c r="F66" i="32"/>
  <c r="K66" i="32"/>
  <c r="P66" i="32"/>
  <c r="U66" i="32"/>
  <c r="G67" i="32"/>
  <c r="H67" i="32"/>
  <c r="I67" i="32"/>
  <c r="J67" i="32"/>
  <c r="L67" i="32"/>
  <c r="M67" i="32"/>
  <c r="N67" i="32"/>
  <c r="O67" i="32"/>
  <c r="Q67" i="32"/>
  <c r="R67" i="32"/>
  <c r="S67" i="32"/>
  <c r="T67" i="32"/>
  <c r="V67" i="32"/>
  <c r="W67" i="32"/>
  <c r="X67" i="32"/>
  <c r="Y67" i="32"/>
  <c r="F68" i="32"/>
  <c r="K68" i="32"/>
  <c r="P68" i="32"/>
  <c r="U68" i="32"/>
  <c r="F69" i="32"/>
  <c r="K69" i="32"/>
  <c r="P69" i="32"/>
  <c r="U69" i="32"/>
  <c r="F70" i="32"/>
  <c r="K70" i="32"/>
  <c r="P70" i="32"/>
  <c r="U70" i="32"/>
  <c r="G71" i="32"/>
  <c r="H71" i="32"/>
  <c r="I71" i="32"/>
  <c r="J71" i="32"/>
  <c r="L71" i="32"/>
  <c r="M71" i="32"/>
  <c r="N71" i="32"/>
  <c r="O71" i="32"/>
  <c r="Q71" i="32"/>
  <c r="R71" i="32"/>
  <c r="S71" i="32"/>
  <c r="T71" i="32"/>
  <c r="V71" i="32"/>
  <c r="W71" i="32"/>
  <c r="X71" i="32"/>
  <c r="F72" i="32"/>
  <c r="K72" i="32"/>
  <c r="P72" i="32"/>
  <c r="U72" i="32"/>
  <c r="G73" i="32"/>
  <c r="H73" i="32"/>
  <c r="I73" i="32"/>
  <c r="J73" i="32"/>
  <c r="L73" i="32"/>
  <c r="M73" i="32"/>
  <c r="N73" i="32"/>
  <c r="O73" i="32"/>
  <c r="Q73" i="32"/>
  <c r="R73" i="32"/>
  <c r="S73" i="32"/>
  <c r="T73" i="32"/>
  <c r="V73" i="32"/>
  <c r="W73" i="32"/>
  <c r="X73" i="32"/>
  <c r="Y73" i="32"/>
  <c r="F74" i="32"/>
  <c r="K74" i="32"/>
  <c r="P74" i="32"/>
  <c r="U74" i="32"/>
  <c r="F75" i="32"/>
  <c r="K75" i="32"/>
  <c r="P75" i="32"/>
  <c r="U75" i="32"/>
  <c r="F76" i="32"/>
  <c r="K76" i="32"/>
  <c r="P76" i="32"/>
  <c r="U76" i="32"/>
  <c r="F77" i="32"/>
  <c r="K77" i="32"/>
  <c r="P77" i="32"/>
  <c r="U77" i="32"/>
  <c r="G78" i="32"/>
  <c r="H78" i="32"/>
  <c r="I78" i="32"/>
  <c r="J78" i="32"/>
  <c r="L78" i="32"/>
  <c r="M78" i="32"/>
  <c r="N78" i="32"/>
  <c r="O78" i="32"/>
  <c r="Q78" i="32"/>
  <c r="R78" i="32"/>
  <c r="S78" i="32"/>
  <c r="T78" i="32"/>
  <c r="V78" i="32"/>
  <c r="W78" i="32"/>
  <c r="X78" i="32"/>
  <c r="Y78" i="32"/>
  <c r="F79" i="32"/>
  <c r="K79" i="32"/>
  <c r="P79" i="32"/>
  <c r="U79" i="32"/>
  <c r="F80" i="32"/>
  <c r="L80" i="32"/>
  <c r="M80" i="32"/>
  <c r="K80" i="32" s="1"/>
  <c r="P80" i="32"/>
  <c r="F81" i="32"/>
  <c r="K81" i="32"/>
  <c r="P81" i="32"/>
  <c r="U81" i="32"/>
  <c r="F82" i="32"/>
  <c r="K82" i="32"/>
  <c r="P82" i="32"/>
  <c r="U82" i="32"/>
  <c r="F83" i="32"/>
  <c r="K83" i="32"/>
  <c r="P83" i="32"/>
  <c r="U83" i="32"/>
  <c r="G84" i="32"/>
  <c r="H84" i="32"/>
  <c r="I84" i="32"/>
  <c r="J84" i="32"/>
  <c r="L84" i="32"/>
  <c r="M84" i="32"/>
  <c r="N84" i="32"/>
  <c r="O84" i="32"/>
  <c r="Q84" i="32"/>
  <c r="R84" i="32"/>
  <c r="S84" i="32"/>
  <c r="T84" i="32"/>
  <c r="V84" i="32"/>
  <c r="W84" i="32"/>
  <c r="X84" i="32"/>
  <c r="Y84" i="32"/>
  <c r="F85" i="32"/>
  <c r="K85" i="32"/>
  <c r="P85" i="32"/>
  <c r="U85" i="32"/>
  <c r="G86" i="32"/>
  <c r="H86" i="32"/>
  <c r="I86" i="32"/>
  <c r="J86" i="32"/>
  <c r="L86" i="32"/>
  <c r="M86" i="32"/>
  <c r="N86" i="32"/>
  <c r="O86" i="32"/>
  <c r="Q86" i="32"/>
  <c r="R86" i="32"/>
  <c r="S86" i="32"/>
  <c r="T86" i="32"/>
  <c r="V86" i="32"/>
  <c r="W86" i="32"/>
  <c r="X86" i="32"/>
  <c r="Y86" i="32"/>
  <c r="F87" i="32"/>
  <c r="K87" i="32"/>
  <c r="P87" i="32"/>
  <c r="U87" i="32"/>
  <c r="F88" i="32"/>
  <c r="K88" i="32"/>
  <c r="P88" i="32"/>
  <c r="U88" i="32"/>
  <c r="G89" i="32"/>
  <c r="H89" i="32"/>
  <c r="I89" i="32"/>
  <c r="J89" i="32"/>
  <c r="L89" i="32"/>
  <c r="M89" i="32"/>
  <c r="N89" i="32"/>
  <c r="O89" i="32"/>
  <c r="Q89" i="32"/>
  <c r="R89" i="32"/>
  <c r="S89" i="32"/>
  <c r="T89" i="32"/>
  <c r="V89" i="32"/>
  <c r="W89" i="32"/>
  <c r="X89" i="32"/>
  <c r="Y89" i="32"/>
  <c r="F90" i="32"/>
  <c r="K90" i="32"/>
  <c r="P90" i="32"/>
  <c r="U90" i="32"/>
  <c r="F91" i="32"/>
  <c r="K91" i="32"/>
  <c r="P91" i="32"/>
  <c r="U91" i="32"/>
  <c r="F92" i="32"/>
  <c r="K92" i="32"/>
  <c r="P92" i="32"/>
  <c r="U92" i="32"/>
  <c r="F93" i="32"/>
  <c r="K93" i="32"/>
  <c r="P93" i="32"/>
  <c r="U93" i="32"/>
  <c r="G94" i="32"/>
  <c r="H94" i="32"/>
  <c r="I94" i="32"/>
  <c r="J94" i="32"/>
  <c r="L94" i="32"/>
  <c r="M94" i="32"/>
  <c r="N94" i="32"/>
  <c r="O94" i="32"/>
  <c r="Q94" i="32"/>
  <c r="R94" i="32"/>
  <c r="S94" i="32"/>
  <c r="T94" i="32"/>
  <c r="V94" i="32"/>
  <c r="W94" i="32"/>
  <c r="X94" i="32"/>
  <c r="Y94" i="32"/>
  <c r="F95" i="32"/>
  <c r="K95" i="32"/>
  <c r="P95" i="32"/>
  <c r="U95" i="32"/>
  <c r="F96" i="32"/>
  <c r="K96" i="32"/>
  <c r="P96" i="32"/>
  <c r="U96" i="32"/>
  <c r="G97" i="32"/>
  <c r="H97" i="32"/>
  <c r="I97" i="32"/>
  <c r="J97" i="32"/>
  <c r="L97" i="32"/>
  <c r="M97" i="32"/>
  <c r="N97" i="32"/>
  <c r="O97" i="32"/>
  <c r="Q97" i="32"/>
  <c r="R97" i="32"/>
  <c r="S97" i="32"/>
  <c r="T97" i="32"/>
  <c r="V97" i="32"/>
  <c r="W97" i="32"/>
  <c r="X97" i="32"/>
  <c r="Y97" i="32"/>
  <c r="F98" i="32"/>
  <c r="M98" i="32"/>
  <c r="P98" i="32"/>
  <c r="U98" i="32"/>
  <c r="F99" i="32"/>
  <c r="K99" i="32"/>
  <c r="P99" i="32"/>
  <c r="U99" i="32"/>
  <c r="F100" i="32"/>
  <c r="K100" i="32"/>
  <c r="P100" i="32"/>
  <c r="U100" i="32"/>
  <c r="G101" i="32"/>
  <c r="H101" i="32"/>
  <c r="I101" i="32"/>
  <c r="J101" i="32"/>
  <c r="L101" i="32"/>
  <c r="M101" i="32"/>
  <c r="N101" i="32"/>
  <c r="O101" i="32"/>
  <c r="Q101" i="32"/>
  <c r="R101" i="32"/>
  <c r="S101" i="32"/>
  <c r="T101" i="32"/>
  <c r="V101" i="32"/>
  <c r="W101" i="32"/>
  <c r="X101" i="32"/>
  <c r="Y101" i="32"/>
  <c r="F102" i="32"/>
  <c r="K102" i="32"/>
  <c r="P102" i="32"/>
  <c r="U102" i="32"/>
  <c r="F103" i="32"/>
  <c r="K103" i="32"/>
  <c r="P103" i="32"/>
  <c r="U103" i="32"/>
  <c r="F104" i="32"/>
  <c r="K104" i="32"/>
  <c r="P104" i="32"/>
  <c r="U104" i="32"/>
  <c r="G105" i="32"/>
  <c r="H105" i="32"/>
  <c r="I105" i="32"/>
  <c r="J105" i="32"/>
  <c r="L105" i="32"/>
  <c r="M105" i="32"/>
  <c r="N105" i="32"/>
  <c r="O105" i="32"/>
  <c r="Q105" i="32"/>
  <c r="R105" i="32"/>
  <c r="S105" i="32"/>
  <c r="T105" i="32"/>
  <c r="V105" i="32"/>
  <c r="W105" i="32"/>
  <c r="X105" i="32"/>
  <c r="Y105" i="32"/>
  <c r="F106" i="32"/>
  <c r="K106" i="32"/>
  <c r="P106" i="32"/>
  <c r="U106" i="32"/>
  <c r="F107" i="32"/>
  <c r="K107" i="32"/>
  <c r="P107" i="32"/>
  <c r="U107" i="32"/>
  <c r="F108" i="32"/>
  <c r="K108" i="32"/>
  <c r="P108" i="32"/>
  <c r="U108" i="32"/>
  <c r="G109" i="32"/>
  <c r="H109" i="32"/>
  <c r="I109" i="32"/>
  <c r="J109" i="32"/>
  <c r="L109" i="32"/>
  <c r="M109" i="32"/>
  <c r="N109" i="32"/>
  <c r="O109" i="32"/>
  <c r="Q109" i="32"/>
  <c r="R109" i="32"/>
  <c r="S109" i="32"/>
  <c r="T109" i="32"/>
  <c r="V109" i="32"/>
  <c r="W109" i="32"/>
  <c r="X109" i="32"/>
  <c r="Y109" i="32"/>
  <c r="F110" i="32"/>
  <c r="K110" i="32"/>
  <c r="P110" i="32"/>
  <c r="U110" i="32"/>
  <c r="F111" i="32"/>
  <c r="K111" i="32"/>
  <c r="P111" i="32"/>
  <c r="U111" i="32"/>
  <c r="G112" i="32"/>
  <c r="H112" i="32"/>
  <c r="I112" i="32"/>
  <c r="J112" i="32"/>
  <c r="L112" i="32"/>
  <c r="M112" i="32"/>
  <c r="N112" i="32"/>
  <c r="O112" i="32"/>
  <c r="Q112" i="32"/>
  <c r="R112" i="32"/>
  <c r="S112" i="32"/>
  <c r="T112" i="32"/>
  <c r="V112" i="32"/>
  <c r="W112" i="32"/>
  <c r="X112" i="32"/>
  <c r="Y112" i="32"/>
  <c r="F113" i="32"/>
  <c r="K113" i="32"/>
  <c r="P113" i="32"/>
  <c r="U113" i="32"/>
  <c r="F114" i="32"/>
  <c r="K114" i="32"/>
  <c r="P114" i="32"/>
  <c r="U114" i="32"/>
  <c r="G115" i="32"/>
  <c r="H115" i="32"/>
  <c r="I115" i="32"/>
  <c r="J115" i="32"/>
  <c r="L115" i="32"/>
  <c r="M115" i="32"/>
  <c r="N115" i="32"/>
  <c r="O115" i="32"/>
  <c r="Q115" i="32"/>
  <c r="R115" i="32"/>
  <c r="S115" i="32"/>
  <c r="T115" i="32"/>
  <c r="V115" i="32"/>
  <c r="W115" i="32"/>
  <c r="X115" i="32"/>
  <c r="Y115" i="32"/>
  <c r="F116" i="32"/>
  <c r="K116" i="32"/>
  <c r="P116" i="32"/>
  <c r="U116" i="32"/>
  <c r="F117" i="32"/>
  <c r="K117" i="32"/>
  <c r="P117" i="32"/>
  <c r="U117" i="32"/>
  <c r="F118" i="32"/>
  <c r="K118" i="32"/>
  <c r="P118" i="32"/>
  <c r="U118" i="32"/>
  <c r="G119" i="32"/>
  <c r="H119" i="32"/>
  <c r="I119" i="32"/>
  <c r="J119" i="32"/>
  <c r="L119" i="32"/>
  <c r="M119" i="32"/>
  <c r="N119" i="32"/>
  <c r="O119" i="32"/>
  <c r="Q119" i="32"/>
  <c r="R119" i="32"/>
  <c r="S119" i="32"/>
  <c r="T119" i="32"/>
  <c r="V119" i="32"/>
  <c r="W119" i="32"/>
  <c r="X119" i="32"/>
  <c r="Y119" i="32"/>
  <c r="F120" i="32"/>
  <c r="K120" i="32"/>
  <c r="P120" i="32"/>
  <c r="U120" i="32"/>
  <c r="F121" i="32"/>
  <c r="K121" i="32"/>
  <c r="P121" i="32"/>
  <c r="U121" i="32"/>
  <c r="F122" i="32"/>
  <c r="K122" i="32"/>
  <c r="P122" i="32"/>
  <c r="U122" i="32"/>
  <c r="G123" i="32"/>
  <c r="H123" i="32"/>
  <c r="I123" i="32"/>
  <c r="J123" i="32"/>
  <c r="L123" i="32"/>
  <c r="M123" i="32"/>
  <c r="N123" i="32"/>
  <c r="O123" i="32"/>
  <c r="Q123" i="32"/>
  <c r="R123" i="32"/>
  <c r="S123" i="32"/>
  <c r="T123" i="32"/>
  <c r="V123" i="32"/>
  <c r="W123" i="32"/>
  <c r="X123" i="32"/>
  <c r="Y123" i="32"/>
  <c r="F124" i="32"/>
  <c r="K124" i="32"/>
  <c r="P124" i="32"/>
  <c r="U124" i="32"/>
  <c r="G125" i="32"/>
  <c r="H125" i="32"/>
  <c r="I125" i="32"/>
  <c r="J125" i="32"/>
  <c r="L125" i="32"/>
  <c r="M125" i="32"/>
  <c r="N125" i="32"/>
  <c r="O125" i="32"/>
  <c r="Q125" i="32"/>
  <c r="R125" i="32"/>
  <c r="S125" i="32"/>
  <c r="T125" i="32"/>
  <c r="V125" i="32"/>
  <c r="W125" i="32"/>
  <c r="X125" i="32"/>
  <c r="Y125" i="32"/>
  <c r="F126" i="32"/>
  <c r="K126" i="32"/>
  <c r="P126" i="32"/>
  <c r="U126" i="32"/>
  <c r="G127" i="32"/>
  <c r="H127" i="32"/>
  <c r="I127" i="32"/>
  <c r="J127" i="32"/>
  <c r="L127" i="32"/>
  <c r="M127" i="32"/>
  <c r="N127" i="32"/>
  <c r="O127" i="32"/>
  <c r="Q127" i="32"/>
  <c r="R127" i="32"/>
  <c r="S127" i="32"/>
  <c r="T127" i="32"/>
  <c r="V127" i="32"/>
  <c r="W127" i="32"/>
  <c r="X127" i="32"/>
  <c r="Y127" i="32"/>
  <c r="F128" i="32"/>
  <c r="K128" i="32"/>
  <c r="P128" i="32"/>
  <c r="U128" i="32"/>
  <c r="G129" i="32"/>
  <c r="H129" i="32"/>
  <c r="I129" i="32"/>
  <c r="J129" i="32"/>
  <c r="L129" i="32"/>
  <c r="M129" i="32"/>
  <c r="N129" i="32"/>
  <c r="O129" i="32"/>
  <c r="Q129" i="32"/>
  <c r="R129" i="32"/>
  <c r="S129" i="32"/>
  <c r="T129" i="32"/>
  <c r="V129" i="32"/>
  <c r="W129" i="32"/>
  <c r="X129" i="32"/>
  <c r="Y129" i="32"/>
  <c r="F130" i="32"/>
  <c r="K130" i="32"/>
  <c r="P130" i="32"/>
  <c r="U130" i="32"/>
  <c r="G131" i="32"/>
  <c r="H131" i="32"/>
  <c r="I131" i="32"/>
  <c r="J131" i="32"/>
  <c r="L131" i="32"/>
  <c r="M131" i="32"/>
  <c r="N131" i="32"/>
  <c r="O131" i="32"/>
  <c r="Q131" i="32"/>
  <c r="R131" i="32"/>
  <c r="S131" i="32"/>
  <c r="T131" i="32"/>
  <c r="V131" i="32"/>
  <c r="W131" i="32"/>
  <c r="X131" i="32"/>
  <c r="Y131" i="32"/>
  <c r="F132" i="32"/>
  <c r="K132" i="32"/>
  <c r="P132" i="32"/>
  <c r="U132" i="32"/>
  <c r="G133" i="32"/>
  <c r="H133" i="32"/>
  <c r="I133" i="32"/>
  <c r="J133" i="32"/>
  <c r="L133" i="32"/>
  <c r="M133" i="32"/>
  <c r="N133" i="32"/>
  <c r="O133" i="32"/>
  <c r="Q133" i="32"/>
  <c r="R133" i="32"/>
  <c r="S133" i="32"/>
  <c r="T133" i="32"/>
  <c r="V133" i="32"/>
  <c r="W133" i="32"/>
  <c r="X133" i="32"/>
  <c r="Y133" i="32"/>
  <c r="F134" i="32"/>
  <c r="K134" i="32"/>
  <c r="P134" i="32"/>
  <c r="U134" i="32"/>
  <c r="G135" i="32"/>
  <c r="H135" i="32"/>
  <c r="I135" i="32"/>
  <c r="J135" i="32"/>
  <c r="L135" i="32"/>
  <c r="M135" i="32"/>
  <c r="N135" i="32"/>
  <c r="O135" i="32"/>
  <c r="Q135" i="32"/>
  <c r="R135" i="32"/>
  <c r="S135" i="32"/>
  <c r="T135" i="32"/>
  <c r="V135" i="32"/>
  <c r="W135" i="32"/>
  <c r="X135" i="32"/>
  <c r="Y135" i="32"/>
  <c r="F136" i="32"/>
  <c r="K136" i="32"/>
  <c r="P136" i="32"/>
  <c r="U136" i="32"/>
  <c r="G137" i="32"/>
  <c r="H137" i="32"/>
  <c r="I137" i="32"/>
  <c r="J137" i="32"/>
  <c r="L137" i="32"/>
  <c r="M137" i="32"/>
  <c r="N137" i="32"/>
  <c r="O137" i="32"/>
  <c r="Q137" i="32"/>
  <c r="R137" i="32"/>
  <c r="S137" i="32"/>
  <c r="T137" i="32"/>
  <c r="V137" i="32"/>
  <c r="W137" i="32"/>
  <c r="X137" i="32"/>
  <c r="Y137" i="32"/>
  <c r="F138" i="32"/>
  <c r="K138" i="32"/>
  <c r="P138" i="32"/>
  <c r="U138" i="32"/>
  <c r="G139" i="32"/>
  <c r="H139" i="32"/>
  <c r="I139" i="32"/>
  <c r="J139" i="32"/>
  <c r="L139" i="32"/>
  <c r="M139" i="32"/>
  <c r="N139" i="32"/>
  <c r="O139" i="32"/>
  <c r="Q139" i="32"/>
  <c r="R139" i="32"/>
  <c r="S139" i="32"/>
  <c r="T139" i="32"/>
  <c r="V139" i="32"/>
  <c r="W139" i="32"/>
  <c r="X139" i="32"/>
  <c r="Y139" i="32"/>
  <c r="F140" i="32"/>
  <c r="K140" i="32"/>
  <c r="P140" i="32"/>
  <c r="U140" i="32"/>
  <c r="G141" i="32"/>
  <c r="H141" i="32"/>
  <c r="I141" i="32"/>
  <c r="J141" i="32"/>
  <c r="L141" i="32"/>
  <c r="M141" i="32"/>
  <c r="N141" i="32"/>
  <c r="O141" i="32"/>
  <c r="Q141" i="32"/>
  <c r="R141" i="32"/>
  <c r="S141" i="32"/>
  <c r="T141" i="32"/>
  <c r="V141" i="32"/>
  <c r="W141" i="32"/>
  <c r="X141" i="32"/>
  <c r="Y141" i="32"/>
  <c r="F142" i="32"/>
  <c r="K142" i="32"/>
  <c r="P142" i="32"/>
  <c r="U142" i="32"/>
  <c r="G143" i="32"/>
  <c r="H143" i="32"/>
  <c r="I143" i="32"/>
  <c r="J143" i="32"/>
  <c r="L143" i="32"/>
  <c r="M143" i="32"/>
  <c r="N143" i="32"/>
  <c r="O143" i="32"/>
  <c r="Q143" i="32"/>
  <c r="R143" i="32"/>
  <c r="S143" i="32"/>
  <c r="T143" i="32"/>
  <c r="V143" i="32"/>
  <c r="W143" i="32"/>
  <c r="X143" i="32"/>
  <c r="Y143" i="32"/>
  <c r="F144" i="32"/>
  <c r="K144" i="32"/>
  <c r="P144" i="32"/>
  <c r="U144" i="32"/>
  <c r="G145" i="32"/>
  <c r="H145" i="32"/>
  <c r="I145" i="32"/>
  <c r="J145" i="32"/>
  <c r="L145" i="32"/>
  <c r="M145" i="32"/>
  <c r="N145" i="32"/>
  <c r="O145" i="32"/>
  <c r="Q145" i="32"/>
  <c r="R145" i="32"/>
  <c r="S145" i="32"/>
  <c r="T145" i="32"/>
  <c r="V145" i="32"/>
  <c r="W145" i="32"/>
  <c r="X145" i="32"/>
  <c r="Y145" i="32"/>
  <c r="G146" i="32"/>
  <c r="H146" i="32"/>
  <c r="I146" i="32"/>
  <c r="J146" i="32"/>
  <c r="L146" i="32"/>
  <c r="M146" i="32"/>
  <c r="N146" i="32"/>
  <c r="O146" i="32"/>
  <c r="Q146" i="32"/>
  <c r="J12" i="31" s="1"/>
  <c r="I12" i="31" s="1"/>
  <c r="J13" i="11" s="1"/>
  <c r="R146" i="32"/>
  <c r="S146" i="32"/>
  <c r="T146" i="32"/>
  <c r="W146" i="32"/>
  <c r="X146" i="32"/>
  <c r="Y146" i="32"/>
  <c r="E10" i="31"/>
  <c r="H10" i="31"/>
  <c r="K10" i="31"/>
  <c r="N10" i="31"/>
  <c r="D12" i="31"/>
  <c r="C12" i="31" s="1"/>
  <c r="D13" i="11" s="1"/>
  <c r="G12" i="31"/>
  <c r="G13" i="31"/>
  <c r="F13" i="31" s="1"/>
  <c r="G14" i="11" s="1"/>
  <c r="J13" i="31"/>
  <c r="I13" i="31" s="1"/>
  <c r="J14" i="11" s="1"/>
  <c r="G14" i="31"/>
  <c r="J14" i="31"/>
  <c r="D15" i="31"/>
  <c r="G15" i="31"/>
  <c r="F15" i="31" s="1"/>
  <c r="J15" i="31"/>
  <c r="I15" i="31" s="1"/>
  <c r="J15" i="11" s="1"/>
  <c r="D18" i="31"/>
  <c r="C18" i="31" s="1"/>
  <c r="D17" i="11" s="1"/>
  <c r="G18" i="31"/>
  <c r="J18" i="31"/>
  <c r="M18" i="31" s="1"/>
  <c r="L18" i="31" s="1"/>
  <c r="E20" i="31"/>
  <c r="H20" i="31"/>
  <c r="K20" i="31"/>
  <c r="V146" i="32" l="1"/>
  <c r="F14" i="31"/>
  <c r="H13" i="11"/>
  <c r="M15" i="31"/>
  <c r="L15" i="31" s="1"/>
  <c r="I14" i="31"/>
  <c r="K13" i="11" s="1"/>
  <c r="K12" i="11" s="1"/>
  <c r="P50" i="36"/>
  <c r="F50" i="36"/>
  <c r="P48" i="36"/>
  <c r="F48" i="36"/>
  <c r="P46" i="36"/>
  <c r="F46" i="36"/>
  <c r="P44" i="36"/>
  <c r="F44" i="36"/>
  <c r="P42" i="36"/>
  <c r="F42" i="36"/>
  <c r="U38" i="36"/>
  <c r="P38" i="36"/>
  <c r="K38" i="36"/>
  <c r="F38" i="36"/>
  <c r="U34" i="36"/>
  <c r="P34" i="36"/>
  <c r="K34" i="36"/>
  <c r="F34" i="36"/>
  <c r="U30" i="36"/>
  <c r="P30" i="36"/>
  <c r="F30" i="36"/>
  <c r="P27" i="36"/>
  <c r="F27" i="36"/>
  <c r="U22" i="36"/>
  <c r="K22" i="36"/>
  <c r="U20" i="36"/>
  <c r="K20" i="36"/>
  <c r="U18" i="36"/>
  <c r="P15" i="36"/>
  <c r="U50" i="36"/>
  <c r="K50" i="36"/>
  <c r="U48" i="36"/>
  <c r="K48" i="36"/>
  <c r="U46" i="36"/>
  <c r="K46" i="36"/>
  <c r="U44" i="36"/>
  <c r="K44" i="36"/>
  <c r="U42" i="36"/>
  <c r="K42" i="36"/>
  <c r="K30" i="36"/>
  <c r="U27" i="36"/>
  <c r="K27" i="36"/>
  <c r="P22" i="36"/>
  <c r="F22" i="36"/>
  <c r="P20" i="36"/>
  <c r="F20" i="36"/>
  <c r="P18" i="36"/>
  <c r="K18" i="36"/>
  <c r="F18" i="36"/>
  <c r="U15" i="36"/>
  <c r="K15" i="36"/>
  <c r="F15" i="36"/>
  <c r="P57" i="35"/>
  <c r="F57" i="35"/>
  <c r="P55" i="35"/>
  <c r="F55" i="35"/>
  <c r="P53" i="35"/>
  <c r="F53" i="35"/>
  <c r="K51" i="35"/>
  <c r="P49" i="35"/>
  <c r="P46" i="35"/>
  <c r="F46" i="35"/>
  <c r="P44" i="35"/>
  <c r="F44" i="35"/>
  <c r="P42" i="35"/>
  <c r="F42" i="35"/>
  <c r="P36" i="35"/>
  <c r="F36" i="35"/>
  <c r="K29" i="35"/>
  <c r="U27" i="35"/>
  <c r="K27" i="35"/>
  <c r="U21" i="35"/>
  <c r="K21" i="35"/>
  <c r="F21" i="35"/>
  <c r="U57" i="35"/>
  <c r="K57" i="35"/>
  <c r="U55" i="35"/>
  <c r="K55" i="35"/>
  <c r="U53" i="35"/>
  <c r="K53" i="35"/>
  <c r="U51" i="35"/>
  <c r="P51" i="35"/>
  <c r="F51" i="35"/>
  <c r="U49" i="35"/>
  <c r="K49" i="35"/>
  <c r="F49" i="35"/>
  <c r="U46" i="35"/>
  <c r="K46" i="35"/>
  <c r="U44" i="35"/>
  <c r="K44" i="35"/>
  <c r="U42" i="35"/>
  <c r="K42" i="35"/>
  <c r="U36" i="35"/>
  <c r="K36" i="35"/>
  <c r="U32" i="35"/>
  <c r="P32" i="35"/>
  <c r="K32" i="35"/>
  <c r="F32" i="35"/>
  <c r="U29" i="35"/>
  <c r="P29" i="35"/>
  <c r="F29" i="35"/>
  <c r="P27" i="35"/>
  <c r="F27" i="35"/>
  <c r="P21" i="35"/>
  <c r="F100" i="34"/>
  <c r="P98" i="34"/>
  <c r="F98" i="34"/>
  <c r="P96" i="34"/>
  <c r="F96" i="34"/>
  <c r="P94" i="34"/>
  <c r="F94" i="34"/>
  <c r="P92" i="34"/>
  <c r="F92" i="34"/>
  <c r="P90" i="34"/>
  <c r="F90" i="34"/>
  <c r="P88" i="34"/>
  <c r="F88" i="34"/>
  <c r="P86" i="34"/>
  <c r="F86" i="34"/>
  <c r="P84" i="34"/>
  <c r="F84" i="34"/>
  <c r="P82" i="34"/>
  <c r="F82" i="34"/>
  <c r="P78" i="34"/>
  <c r="F78" i="34"/>
  <c r="P74" i="34"/>
  <c r="F74" i="34"/>
  <c r="P69" i="34"/>
  <c r="F69" i="34"/>
  <c r="P64" i="34"/>
  <c r="F64" i="34"/>
  <c r="U62" i="34"/>
  <c r="K62" i="34"/>
  <c r="U60" i="34"/>
  <c r="K60" i="34"/>
  <c r="U55" i="34"/>
  <c r="K55" i="34"/>
  <c r="U51" i="34"/>
  <c r="K51" i="34"/>
  <c r="U46" i="34"/>
  <c r="K46" i="34"/>
  <c r="U44" i="34"/>
  <c r="K44" i="34"/>
  <c r="U41" i="34"/>
  <c r="K41" i="34"/>
  <c r="U39" i="34"/>
  <c r="K39" i="34"/>
  <c r="U34" i="34"/>
  <c r="K34" i="34"/>
  <c r="U31" i="34"/>
  <c r="K31" i="34"/>
  <c r="U28" i="34"/>
  <c r="P28" i="34"/>
  <c r="K28" i="34"/>
  <c r="F28" i="34"/>
  <c r="U25" i="34"/>
  <c r="P25" i="34"/>
  <c r="K25" i="34"/>
  <c r="F25" i="34"/>
  <c r="U23" i="34"/>
  <c r="P23" i="34"/>
  <c r="K23" i="34"/>
  <c r="F23" i="34"/>
  <c r="U20" i="34"/>
  <c r="P20" i="34"/>
  <c r="K20" i="34"/>
  <c r="F20" i="34"/>
  <c r="P15" i="34"/>
  <c r="H101" i="34"/>
  <c r="D13" i="31" s="1"/>
  <c r="C13" i="31" s="1"/>
  <c r="D14" i="11" s="1"/>
  <c r="D12" i="11" s="1"/>
  <c r="U98" i="34"/>
  <c r="K98" i="34"/>
  <c r="U96" i="34"/>
  <c r="K96" i="34"/>
  <c r="U94" i="34"/>
  <c r="K94" i="34"/>
  <c r="U92" i="34"/>
  <c r="K92" i="34"/>
  <c r="U90" i="34"/>
  <c r="K90" i="34"/>
  <c r="U88" i="34"/>
  <c r="K88" i="34"/>
  <c r="U86" i="34"/>
  <c r="K86" i="34"/>
  <c r="U84" i="34"/>
  <c r="K84" i="34"/>
  <c r="U82" i="34"/>
  <c r="K82" i="34"/>
  <c r="U78" i="34"/>
  <c r="K78" i="34"/>
  <c r="U74" i="34"/>
  <c r="K74" i="34"/>
  <c r="U69" i="34"/>
  <c r="K69" i="34"/>
  <c r="U64" i="34"/>
  <c r="K64" i="34"/>
  <c r="K63" i="34"/>
  <c r="P62" i="34"/>
  <c r="F62" i="34"/>
  <c r="P60" i="34"/>
  <c r="F60" i="34"/>
  <c r="P55" i="34"/>
  <c r="F55" i="34"/>
  <c r="P51" i="34"/>
  <c r="F51" i="34"/>
  <c r="P46" i="34"/>
  <c r="F46" i="34"/>
  <c r="P44" i="34"/>
  <c r="F44" i="34"/>
  <c r="P41" i="34"/>
  <c r="F41" i="34"/>
  <c r="P39" i="34"/>
  <c r="F39" i="34"/>
  <c r="P34" i="34"/>
  <c r="F34" i="34"/>
  <c r="P31" i="34"/>
  <c r="F31" i="34"/>
  <c r="U15" i="34"/>
  <c r="K15" i="34"/>
  <c r="F15" i="34"/>
  <c r="P97" i="33"/>
  <c r="F97" i="33"/>
  <c r="P95" i="33"/>
  <c r="F95" i="33"/>
  <c r="P93" i="33"/>
  <c r="F93" i="33"/>
  <c r="P91" i="33"/>
  <c r="F91" i="33"/>
  <c r="P89" i="33"/>
  <c r="F89" i="33"/>
  <c r="P83" i="33"/>
  <c r="F83" i="33"/>
  <c r="P81" i="33"/>
  <c r="F81" i="33"/>
  <c r="P77" i="33"/>
  <c r="F77" i="33"/>
  <c r="P73" i="33"/>
  <c r="F73" i="33"/>
  <c r="P69" i="33"/>
  <c r="F69" i="33"/>
  <c r="P67" i="33"/>
  <c r="F67" i="33"/>
  <c r="P63" i="33"/>
  <c r="F63" i="33"/>
  <c r="P61" i="33"/>
  <c r="K61" i="33"/>
  <c r="F61" i="33"/>
  <c r="P57" i="33"/>
  <c r="K57" i="33"/>
  <c r="F57" i="33"/>
  <c r="U55" i="33"/>
  <c r="P55" i="33"/>
  <c r="K55" i="33"/>
  <c r="F55" i="33"/>
  <c r="U49" i="33"/>
  <c r="P49" i="33"/>
  <c r="K49" i="33"/>
  <c r="F49" i="33"/>
  <c r="U44" i="33"/>
  <c r="K44" i="33"/>
  <c r="U41" i="33"/>
  <c r="P41" i="33"/>
  <c r="K41" i="33"/>
  <c r="U38" i="33"/>
  <c r="P38" i="33"/>
  <c r="K38" i="33"/>
  <c r="F38" i="33"/>
  <c r="U32" i="33"/>
  <c r="K32" i="33"/>
  <c r="F32" i="33"/>
  <c r="U25" i="33"/>
  <c r="K25" i="33"/>
  <c r="U19" i="33"/>
  <c r="K19" i="33"/>
  <c r="U16" i="33"/>
  <c r="K16" i="33"/>
  <c r="F16" i="33"/>
  <c r="U97" i="33"/>
  <c r="K97" i="33"/>
  <c r="U95" i="33"/>
  <c r="K95" i="33"/>
  <c r="U93" i="33"/>
  <c r="K93" i="33"/>
  <c r="U91" i="33"/>
  <c r="K91" i="33"/>
  <c r="U89" i="33"/>
  <c r="K89" i="33"/>
  <c r="U83" i="33"/>
  <c r="K83" i="33"/>
  <c r="U81" i="33"/>
  <c r="K81" i="33"/>
  <c r="U77" i="33"/>
  <c r="K77" i="33"/>
  <c r="U73" i="33"/>
  <c r="K73" i="33"/>
  <c r="U69" i="33"/>
  <c r="K69" i="33"/>
  <c r="U67" i="33"/>
  <c r="K67" i="33"/>
  <c r="U63" i="33"/>
  <c r="K63" i="33"/>
  <c r="U61" i="33"/>
  <c r="U57" i="33"/>
  <c r="P44" i="33"/>
  <c r="F44" i="33"/>
  <c r="F41" i="33"/>
  <c r="P32" i="33"/>
  <c r="P25" i="33"/>
  <c r="F25" i="33"/>
  <c r="P19" i="33"/>
  <c r="F19" i="33"/>
  <c r="P16" i="33"/>
  <c r="C14" i="31"/>
  <c r="E13" i="11"/>
  <c r="E12" i="11" s="1"/>
  <c r="F143" i="32"/>
  <c r="P141" i="32"/>
  <c r="F141" i="32"/>
  <c r="P139" i="32"/>
  <c r="F139" i="32"/>
  <c r="P137" i="32"/>
  <c r="F137" i="32"/>
  <c r="P135" i="32"/>
  <c r="F135" i="32"/>
  <c r="G15" i="11"/>
  <c r="H12" i="11"/>
  <c r="H11" i="11" s="1"/>
  <c r="U145" i="32"/>
  <c r="K145" i="32"/>
  <c r="U143" i="32"/>
  <c r="U141" i="32"/>
  <c r="K141" i="32"/>
  <c r="U139" i="32"/>
  <c r="K139" i="32"/>
  <c r="U137" i="32"/>
  <c r="K137" i="32"/>
  <c r="U135" i="32"/>
  <c r="K135" i="32"/>
  <c r="P133" i="32"/>
  <c r="F133" i="32"/>
  <c r="P131" i="32"/>
  <c r="F131" i="32"/>
  <c r="P129" i="32"/>
  <c r="F129" i="32"/>
  <c r="P127" i="32"/>
  <c r="F127" i="32"/>
  <c r="P125" i="32"/>
  <c r="F125" i="32"/>
  <c r="P123" i="32"/>
  <c r="F123" i="32"/>
  <c r="P119" i="32"/>
  <c r="F119" i="32"/>
  <c r="P115" i="32"/>
  <c r="F115" i="32"/>
  <c r="P112" i="32"/>
  <c r="F112" i="32"/>
  <c r="P109" i="32"/>
  <c r="F109" i="32"/>
  <c r="P105" i="32"/>
  <c r="F105" i="32"/>
  <c r="P101" i="32"/>
  <c r="F101" i="32"/>
  <c r="U97" i="32"/>
  <c r="K97" i="32"/>
  <c r="U94" i="32"/>
  <c r="K94" i="32"/>
  <c r="U89" i="32"/>
  <c r="K89" i="32"/>
  <c r="U86" i="32"/>
  <c r="K86" i="32"/>
  <c r="U84" i="32"/>
  <c r="K84" i="32"/>
  <c r="P78" i="32"/>
  <c r="F78" i="32"/>
  <c r="P73" i="32"/>
  <c r="F73" i="32"/>
  <c r="P71" i="32"/>
  <c r="F71" i="32"/>
  <c r="P67" i="32"/>
  <c r="F67" i="32"/>
  <c r="P65" i="32"/>
  <c r="F65" i="32"/>
  <c r="P63" i="32"/>
  <c r="F63" i="32"/>
  <c r="U61" i="32"/>
  <c r="K61" i="32"/>
  <c r="U58" i="32"/>
  <c r="K58" i="32"/>
  <c r="U55" i="32"/>
  <c r="K55" i="32"/>
  <c r="U52" i="32"/>
  <c r="K52" i="32"/>
  <c r="U48" i="32"/>
  <c r="K48" i="32"/>
  <c r="U46" i="32"/>
  <c r="K46" i="32"/>
  <c r="U44" i="32"/>
  <c r="K44" i="32"/>
  <c r="U40" i="32"/>
  <c r="K40" i="32"/>
  <c r="U33" i="32"/>
  <c r="K33" i="32"/>
  <c r="U26" i="32"/>
  <c r="P26" i="32"/>
  <c r="K26" i="32"/>
  <c r="F26" i="32"/>
  <c r="U20" i="32"/>
  <c r="P20" i="32"/>
  <c r="K20" i="32"/>
  <c r="F20" i="32"/>
  <c r="P17" i="32"/>
  <c r="F17" i="32"/>
  <c r="P15" i="32"/>
  <c r="K15" i="32"/>
  <c r="F15" i="32"/>
  <c r="U133" i="32"/>
  <c r="K133" i="32"/>
  <c r="U131" i="32"/>
  <c r="K131" i="32"/>
  <c r="U129" i="32"/>
  <c r="K129" i="32"/>
  <c r="U127" i="32"/>
  <c r="K127" i="32"/>
  <c r="U125" i="32"/>
  <c r="K125" i="32"/>
  <c r="U123" i="32"/>
  <c r="K123" i="32"/>
  <c r="U119" i="32"/>
  <c r="K119" i="32"/>
  <c r="U115" i="32"/>
  <c r="K115" i="32"/>
  <c r="U112" i="32"/>
  <c r="K112" i="32"/>
  <c r="U109" i="32"/>
  <c r="K109" i="32"/>
  <c r="U105" i="32"/>
  <c r="K105" i="32"/>
  <c r="U101" i="32"/>
  <c r="K101" i="32"/>
  <c r="K98" i="32"/>
  <c r="P97" i="32"/>
  <c r="F97" i="32"/>
  <c r="P94" i="32"/>
  <c r="F94" i="32"/>
  <c r="P89" i="32"/>
  <c r="F89" i="32"/>
  <c r="P86" i="32"/>
  <c r="F86" i="32"/>
  <c r="P84" i="32"/>
  <c r="F84" i="32"/>
  <c r="U78" i="32"/>
  <c r="K78" i="32"/>
  <c r="U73" i="32"/>
  <c r="K73" i="32"/>
  <c r="U71" i="32"/>
  <c r="K71" i="32"/>
  <c r="U67" i="32"/>
  <c r="K67" i="32"/>
  <c r="U65" i="32"/>
  <c r="K65" i="32"/>
  <c r="U63" i="32"/>
  <c r="K63" i="32"/>
  <c r="K62" i="32"/>
  <c r="P61" i="32"/>
  <c r="F61" i="32"/>
  <c r="P58" i="32"/>
  <c r="F58" i="32"/>
  <c r="P55" i="32"/>
  <c r="F55" i="32"/>
  <c r="P52" i="32"/>
  <c r="F52" i="32"/>
  <c r="P48" i="32"/>
  <c r="F48" i="32"/>
  <c r="P46" i="32"/>
  <c r="F46" i="32"/>
  <c r="P44" i="32"/>
  <c r="F44" i="32"/>
  <c r="P40" i="32"/>
  <c r="F40" i="32"/>
  <c r="P33" i="32"/>
  <c r="F33" i="32"/>
  <c r="U17" i="32"/>
  <c r="K17" i="32"/>
  <c r="U15" i="32"/>
  <c r="J12" i="11"/>
  <c r="F145" i="32"/>
  <c r="F146" i="32" s="1"/>
  <c r="K143" i="32"/>
  <c r="K146" i="32" s="1"/>
  <c r="G10" i="31"/>
  <c r="F10" i="31" s="1"/>
  <c r="P145" i="32"/>
  <c r="P143" i="32"/>
  <c r="J10" i="31"/>
  <c r="I10" i="31" s="1"/>
  <c r="D10" i="31"/>
  <c r="C10" i="31" s="1"/>
  <c r="M14" i="31"/>
  <c r="L14" i="31" s="1"/>
  <c r="M13" i="31"/>
  <c r="L13" i="31" s="1"/>
  <c r="M12" i="31"/>
  <c r="J16" i="31"/>
  <c r="G16" i="31"/>
  <c r="D16" i="31"/>
  <c r="F12" i="31"/>
  <c r="G13" i="11" s="1"/>
  <c r="U51" i="36" l="1"/>
  <c r="F51" i="36"/>
  <c r="K51" i="36"/>
  <c r="P51" i="36"/>
  <c r="K58" i="35"/>
  <c r="F58" i="35"/>
  <c r="C12" i="11"/>
  <c r="U58" i="35"/>
  <c r="P58" i="35"/>
  <c r="K101" i="34"/>
  <c r="F101" i="34"/>
  <c r="P101" i="34"/>
  <c r="U98" i="33"/>
  <c r="F98" i="33"/>
  <c r="K98" i="33"/>
  <c r="P98" i="33"/>
  <c r="U146" i="32"/>
  <c r="G12" i="11"/>
  <c r="P146" i="32"/>
  <c r="D20" i="31"/>
  <c r="C20" i="31" s="1"/>
  <c r="C16" i="31"/>
  <c r="J20" i="31"/>
  <c r="I20" i="31" s="1"/>
  <c r="I22" i="31" s="1"/>
  <c r="I16" i="31"/>
  <c r="F16" i="31"/>
  <c r="G20" i="31"/>
  <c r="F20" i="31" s="1"/>
  <c r="M10" i="31"/>
  <c r="L10" i="31" s="1"/>
  <c r="L12" i="31"/>
  <c r="M16" i="31"/>
  <c r="L16" i="31" l="1"/>
  <c r="M20" i="31"/>
  <c r="L20" i="31" s="1"/>
  <c r="E14" i="30" l="1"/>
  <c r="H14" i="30"/>
  <c r="K14" i="30"/>
  <c r="N14" i="30"/>
  <c r="F13" i="29"/>
  <c r="K13" i="29"/>
  <c r="P13" i="29"/>
  <c r="U13" i="29"/>
  <c r="G14" i="29"/>
  <c r="H14" i="29"/>
  <c r="I14" i="29"/>
  <c r="J14" i="29"/>
  <c r="L14" i="29"/>
  <c r="M14" i="29"/>
  <c r="N14" i="29"/>
  <c r="O14" i="29"/>
  <c r="S14" i="29"/>
  <c r="P14" i="29" s="1"/>
  <c r="T14" i="29"/>
  <c r="W14" i="29"/>
  <c r="X14" i="29"/>
  <c r="Y14" i="29"/>
  <c r="F15" i="29"/>
  <c r="K15" i="29"/>
  <c r="P15" i="29"/>
  <c r="G16" i="29"/>
  <c r="H16" i="29"/>
  <c r="I16" i="29"/>
  <c r="J16" i="29"/>
  <c r="L16" i="29"/>
  <c r="M16" i="29"/>
  <c r="N16" i="29"/>
  <c r="O16" i="29"/>
  <c r="Q16" i="29"/>
  <c r="Q17" i="29" s="1"/>
  <c r="J22" i="11" s="1"/>
  <c r="R16" i="29"/>
  <c r="S16" i="29"/>
  <c r="T16" i="29"/>
  <c r="V16" i="29"/>
  <c r="W16" i="29"/>
  <c r="X16" i="29"/>
  <c r="Y16" i="29"/>
  <c r="Y17" i="29" s="1"/>
  <c r="H17" i="29"/>
  <c r="D23" i="11" s="1"/>
  <c r="I17" i="29"/>
  <c r="J17" i="29"/>
  <c r="E22" i="11" s="1"/>
  <c r="L17" i="29"/>
  <c r="G22" i="11" s="1"/>
  <c r="M17" i="29"/>
  <c r="G23" i="11" s="1"/>
  <c r="N17" i="29"/>
  <c r="O17" i="29"/>
  <c r="H22" i="11" s="1"/>
  <c r="R17" i="29"/>
  <c r="S17" i="29"/>
  <c r="T17" i="29"/>
  <c r="K22" i="11" s="1"/>
  <c r="W17" i="29"/>
  <c r="X17" i="29"/>
  <c r="U16" i="29" l="1"/>
  <c r="K16" i="29"/>
  <c r="U14" i="29"/>
  <c r="K14" i="29"/>
  <c r="D22" i="11"/>
  <c r="J13" i="30"/>
  <c r="G13" i="30"/>
  <c r="F13" i="30" s="1"/>
  <c r="D13" i="30"/>
  <c r="C13" i="30" s="1"/>
  <c r="D12" i="30"/>
  <c r="C12" i="30" s="1"/>
  <c r="J12" i="30"/>
  <c r="J23" i="11"/>
  <c r="P16" i="29"/>
  <c r="P17" i="29" s="1"/>
  <c r="F16" i="29"/>
  <c r="F14" i="29"/>
  <c r="G12" i="30"/>
  <c r="F12" i="30" s="1"/>
  <c r="G11" i="30"/>
  <c r="G17" i="29"/>
  <c r="D11" i="30" s="1"/>
  <c r="J11" i="30"/>
  <c r="U17" i="29" l="1"/>
  <c r="F11" i="30"/>
  <c r="F14" i="30" s="1"/>
  <c r="G14" i="30"/>
  <c r="I12" i="30"/>
  <c r="M12" i="30"/>
  <c r="L12" i="30" s="1"/>
  <c r="I13" i="30"/>
  <c r="M13" i="30"/>
  <c r="L13" i="30" s="1"/>
  <c r="K17" i="29"/>
  <c r="C11" i="30"/>
  <c r="C14" i="30" s="1"/>
  <c r="D14" i="30"/>
  <c r="F17" i="29"/>
  <c r="I11" i="30"/>
  <c r="I14" i="30" s="1"/>
  <c r="I16" i="30" s="1"/>
  <c r="J14" i="30"/>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L14" i="30" l="1"/>
  <c r="M14" i="30"/>
  <c r="AH25" i="11"/>
  <c r="AH24" i="11" s="1"/>
  <c r="AG37" i="11" l="1"/>
  <c r="AG36" i="11"/>
  <c r="AG35" i="11"/>
  <c r="AI34" i="11"/>
  <c r="AH34" i="11"/>
  <c r="AI25" i="11"/>
  <c r="AG32" i="11"/>
  <c r="AG31" i="11"/>
  <c r="AG30" i="11"/>
  <c r="AG29" i="11"/>
  <c r="AG28" i="11"/>
  <c r="AG27" i="11"/>
  <c r="AG26" i="11"/>
  <c r="AG23" i="11"/>
  <c r="AG22" i="11"/>
  <c r="AI21" i="11"/>
  <c r="AH21" i="11"/>
  <c r="AG20" i="11"/>
  <c r="AG19" i="11"/>
  <c r="AI18" i="11"/>
  <c r="AH18" i="11"/>
  <c r="AG17" i="11"/>
  <c r="AG16" i="11"/>
  <c r="AG15" i="11"/>
  <c r="AG14" i="11"/>
  <c r="AI12" i="11"/>
  <c r="AI11" i="11" s="1"/>
  <c r="AG34" i="11" l="1"/>
  <c r="AG21" i="11"/>
  <c r="AH11" i="11"/>
  <c r="AG11" i="11" s="1"/>
  <c r="AG25" i="11"/>
  <c r="AG24" i="11" s="1"/>
  <c r="AI24" i="11"/>
  <c r="AG18" i="11"/>
  <c r="AG13" i="11"/>
  <c r="AG12" i="11" l="1"/>
  <c r="R14" i="10" l="1"/>
  <c r="T14" i="4"/>
  <c r="G11" i="11" l="1"/>
  <c r="D21" i="11" l="1"/>
  <c r="G21" i="4" l="1"/>
  <c r="G58" i="20" l="1"/>
  <c r="G57" i="20"/>
  <c r="G55" i="20"/>
  <c r="G28" i="20"/>
  <c r="G27" i="20"/>
  <c r="G26" i="20"/>
  <c r="G25" i="20"/>
  <c r="G23" i="20"/>
  <c r="F8" i="20"/>
  <c r="F58" i="20"/>
  <c r="F57" i="20"/>
  <c r="F28" i="20"/>
  <c r="F27" i="20"/>
  <c r="F26" i="20"/>
  <c r="F25" i="20"/>
  <c r="F23" i="20" s="1"/>
  <c r="F55" i="20"/>
  <c r="P35" i="6" l="1"/>
  <c r="AM41" i="11" l="1"/>
  <c r="P26" i="6"/>
  <c r="P23" i="6"/>
  <c r="P19" i="6"/>
  <c r="P16" i="6"/>
  <c r="G46" i="6"/>
  <c r="C83" i="20"/>
  <c r="F79" i="20" l="1"/>
  <c r="E79" i="20"/>
  <c r="D83" i="20"/>
  <c r="D80" i="20"/>
  <c r="E80" i="20" s="1"/>
  <c r="C80" i="20"/>
  <c r="F78" i="20"/>
  <c r="E78" i="20"/>
  <c r="E55" i="20"/>
  <c r="D55" i="20"/>
  <c r="C55" i="20"/>
  <c r="D52" i="20"/>
  <c r="C52" i="20"/>
  <c r="F50" i="20"/>
  <c r="E50" i="20"/>
  <c r="F80" i="20" l="1"/>
  <c r="F52" i="20"/>
  <c r="E52" i="20"/>
  <c r="E27" i="20"/>
  <c r="D23" i="20"/>
  <c r="C23" i="20"/>
  <c r="E23" i="20" l="1"/>
  <c r="E14" i="20" l="1"/>
  <c r="G15" i="20"/>
  <c r="E15" i="20"/>
  <c r="G14" i="20"/>
  <c r="C16" i="20"/>
  <c r="E16" i="20" s="1"/>
  <c r="D16" i="20"/>
  <c r="F9" i="20"/>
  <c r="E9" i="20"/>
  <c r="E8" i="20"/>
  <c r="C10" i="20"/>
  <c r="D10" i="20"/>
  <c r="F10" i="20" l="1"/>
  <c r="G16" i="20"/>
  <c r="E10" i="20"/>
  <c r="G19" i="20" l="1"/>
  <c r="AD15" i="10"/>
  <c r="AD14" i="10"/>
  <c r="R15" i="10" l="1"/>
  <c r="F13" i="10"/>
  <c r="AF38" i="11" l="1"/>
  <c r="X38" i="11"/>
  <c r="X37" i="11"/>
  <c r="X36" i="11"/>
  <c r="X35" i="11"/>
  <c r="Z34" i="11"/>
  <c r="Y34" i="11"/>
  <c r="X34" i="11" s="1"/>
  <c r="Z33" i="11"/>
  <c r="X32" i="11"/>
  <c r="X31" i="11"/>
  <c r="X30" i="11"/>
  <c r="Y29" i="11"/>
  <c r="X29" i="11" s="1"/>
  <c r="X28" i="11"/>
  <c r="X27" i="11"/>
  <c r="Z25" i="11"/>
  <c r="Z24" i="11" s="1"/>
  <c r="X26" i="11"/>
  <c r="X23" i="11"/>
  <c r="X22" i="11"/>
  <c r="Z21" i="11"/>
  <c r="X20" i="11"/>
  <c r="X19" i="11"/>
  <c r="Z18" i="11"/>
  <c r="X17" i="11"/>
  <c r="X16" i="11"/>
  <c r="X15" i="11"/>
  <c r="X14" i="11"/>
  <c r="X13" i="11"/>
  <c r="Z12" i="11"/>
  <c r="Z11" i="11" s="1"/>
  <c r="Y25" i="11" l="1"/>
  <c r="X25" i="11" s="1"/>
  <c r="X24" i="11" s="1"/>
  <c r="Y33" i="11"/>
  <c r="X33" i="11" s="1"/>
  <c r="Z39" i="11"/>
  <c r="Y12" i="11"/>
  <c r="Y11" i="11" s="1"/>
  <c r="Y18" i="11"/>
  <c r="X18" i="11" s="1"/>
  <c r="Y21" i="11"/>
  <c r="X21" i="11" s="1"/>
  <c r="T13" i="4"/>
  <c r="Y24" i="11" l="1"/>
  <c r="X12" i="11"/>
  <c r="X11" i="11"/>
  <c r="X39" i="11" s="1"/>
  <c r="Y39" i="11" l="1"/>
  <c r="AF45" i="6" l="1"/>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AF16" i="6"/>
  <c r="AF15" i="6"/>
  <c r="AF14"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3" i="6"/>
  <c r="AE14" i="6"/>
  <c r="AD46" i="6"/>
  <c r="AC46" i="6"/>
  <c r="AB46" i="6"/>
  <c r="AA46" i="6"/>
  <c r="Z45" i="6"/>
  <c r="Z44" i="6"/>
  <c r="Z43" i="6"/>
  <c r="Z42" i="6"/>
  <c r="Z41" i="6"/>
  <c r="Z40" i="6"/>
  <c r="Z39" i="6"/>
  <c r="Z38" i="6"/>
  <c r="Z37" i="6"/>
  <c r="Z36" i="6"/>
  <c r="Z35" i="6"/>
  <c r="Z34" i="6"/>
  <c r="Z33" i="6"/>
  <c r="Z32" i="6"/>
  <c r="Z31" i="6"/>
  <c r="Z30" i="6"/>
  <c r="Z29" i="6"/>
  <c r="Z28" i="6"/>
  <c r="Z27" i="6"/>
  <c r="Z26" i="6"/>
  <c r="Z25" i="6"/>
  <c r="Z24" i="6"/>
  <c r="Z23" i="6"/>
  <c r="Z22" i="6"/>
  <c r="Z21" i="6"/>
  <c r="Z20" i="6"/>
  <c r="Z19" i="6"/>
  <c r="Z18" i="6"/>
  <c r="Z17" i="6"/>
  <c r="Z16" i="6"/>
  <c r="Z15" i="6"/>
  <c r="Z14" i="6"/>
  <c r="Z13" i="6"/>
  <c r="Z46" i="6" l="1"/>
  <c r="T20" i="4" l="1"/>
  <c r="T19" i="4"/>
  <c r="T18" i="4"/>
  <c r="T17" i="4"/>
  <c r="T16" i="4"/>
  <c r="T15" i="4"/>
  <c r="T21" i="4" l="1"/>
  <c r="N23" i="11"/>
  <c r="AC13" i="11"/>
  <c r="C23" i="11"/>
  <c r="F23" i="11"/>
  <c r="E21" i="11"/>
  <c r="C21" i="11" s="1"/>
  <c r="H21" i="11"/>
  <c r="AC18" i="10"/>
  <c r="AB18" i="10"/>
  <c r="AA18" i="10"/>
  <c r="Z18" i="10"/>
  <c r="Y18" i="10"/>
  <c r="AC17" i="10"/>
  <c r="AB17" i="10"/>
  <c r="AA17" i="10"/>
  <c r="Z17" i="10"/>
  <c r="Y17" i="10"/>
  <c r="AC16" i="10"/>
  <c r="AB16" i="10"/>
  <c r="AA16" i="10"/>
  <c r="Z16" i="10"/>
  <c r="Y16" i="10"/>
  <c r="AC15" i="10"/>
  <c r="AB15" i="10"/>
  <c r="AA15" i="10"/>
  <c r="Z15" i="10"/>
  <c r="Y15" i="10"/>
  <c r="AC14" i="10"/>
  <c r="AB14" i="10"/>
  <c r="AA14" i="10"/>
  <c r="Z14" i="10"/>
  <c r="Y14" i="10"/>
  <c r="AC13" i="10"/>
  <c r="AB13" i="10"/>
  <c r="AA13" i="10"/>
  <c r="Z13" i="10"/>
  <c r="Y13" i="10"/>
  <c r="W19" i="10"/>
  <c r="K18" i="8" s="1"/>
  <c r="K38" i="11" s="1"/>
  <c r="K43" i="11" s="1"/>
  <c r="Q19" i="10"/>
  <c r="H18" i="8" s="1"/>
  <c r="K19" i="10"/>
  <c r="E18" i="8" s="1"/>
  <c r="E38" i="11" s="1"/>
  <c r="E11" i="5"/>
  <c r="H10" i="7"/>
  <c r="H10" i="8"/>
  <c r="N15" i="7"/>
  <c r="N14" i="7"/>
  <c r="N13" i="7"/>
  <c r="N12" i="7"/>
  <c r="N37" i="11"/>
  <c r="N36" i="11"/>
  <c r="N32" i="11"/>
  <c r="N31" i="11"/>
  <c r="N29" i="11"/>
  <c r="N30" i="11"/>
  <c r="N28" i="11"/>
  <c r="N27" i="11"/>
  <c r="N20" i="11"/>
  <c r="N17" i="11"/>
  <c r="N16" i="11"/>
  <c r="N15" i="11"/>
  <c r="N14" i="11"/>
  <c r="K11" i="11"/>
  <c r="F16" i="11"/>
  <c r="F15" i="11"/>
  <c r="C15" i="11"/>
  <c r="C16" i="11"/>
  <c r="K10" i="8"/>
  <c r="K16" i="8" s="1"/>
  <c r="J15" i="8"/>
  <c r="J37" i="11" s="1"/>
  <c r="H16" i="8"/>
  <c r="N15" i="8"/>
  <c r="N14" i="8"/>
  <c r="N13" i="8"/>
  <c r="N12" i="8"/>
  <c r="E10" i="8"/>
  <c r="E16" i="8" s="1"/>
  <c r="V19" i="10"/>
  <c r="J14" i="8" s="1"/>
  <c r="U19" i="10"/>
  <c r="J18" i="8" s="1"/>
  <c r="J38" i="11" s="1"/>
  <c r="AB38" i="11" s="1"/>
  <c r="AE38" i="11" s="1"/>
  <c r="AD38" i="11" s="1"/>
  <c r="T19" i="10"/>
  <c r="J13" i="8" s="1"/>
  <c r="S19" i="10"/>
  <c r="J12" i="8" s="1"/>
  <c r="P19" i="10"/>
  <c r="G14" i="8" s="1"/>
  <c r="N19" i="10"/>
  <c r="G13" i="8" s="1"/>
  <c r="X18" i="10"/>
  <c r="X17" i="10"/>
  <c r="X16" i="10"/>
  <c r="X15" i="10"/>
  <c r="X14" i="10"/>
  <c r="R18" i="10"/>
  <c r="R17" i="10"/>
  <c r="R16" i="10"/>
  <c r="R13" i="10"/>
  <c r="L17" i="10"/>
  <c r="L16" i="10"/>
  <c r="L15" i="10"/>
  <c r="L14" i="10"/>
  <c r="F18" i="10"/>
  <c r="F17" i="10"/>
  <c r="F16" i="10"/>
  <c r="F15" i="10"/>
  <c r="F14" i="10"/>
  <c r="F19" i="10" s="1"/>
  <c r="J19" i="10"/>
  <c r="D14" i="8" s="1"/>
  <c r="I19" i="10"/>
  <c r="D18" i="8" s="1"/>
  <c r="H19" i="10"/>
  <c r="D13" i="8" s="1"/>
  <c r="G19" i="10"/>
  <c r="D12" i="8" s="1"/>
  <c r="G15" i="8"/>
  <c r="F15" i="8" s="1"/>
  <c r="O19" i="10"/>
  <c r="G18" i="8" s="1"/>
  <c r="G38" i="11" s="1"/>
  <c r="J15" i="7"/>
  <c r="G15" i="7"/>
  <c r="F15" i="7" s="1"/>
  <c r="G20" i="11" s="1"/>
  <c r="K10" i="7"/>
  <c r="K16" i="7" s="1"/>
  <c r="H16" i="7"/>
  <c r="E10" i="7"/>
  <c r="E16" i="7" s="1"/>
  <c r="D15" i="7"/>
  <c r="C15" i="7" s="1"/>
  <c r="D20" i="11" s="1"/>
  <c r="C20" i="11" s="1"/>
  <c r="Y45" i="6"/>
  <c r="X45" i="6"/>
  <c r="W45" i="6"/>
  <c r="V45" i="6"/>
  <c r="Y44" i="6"/>
  <c r="X44" i="6"/>
  <c r="W44" i="6"/>
  <c r="V44" i="6"/>
  <c r="Y43" i="6"/>
  <c r="X43" i="6"/>
  <c r="W43" i="6"/>
  <c r="V43" i="6"/>
  <c r="Y42" i="6"/>
  <c r="X42" i="6"/>
  <c r="W42" i="6"/>
  <c r="V42" i="6"/>
  <c r="Y41" i="6"/>
  <c r="X41" i="6"/>
  <c r="W41" i="6"/>
  <c r="V41" i="6"/>
  <c r="Y40" i="6"/>
  <c r="X40" i="6"/>
  <c r="W40" i="6"/>
  <c r="V40" i="6"/>
  <c r="Y39" i="6"/>
  <c r="X39" i="6"/>
  <c r="W39" i="6"/>
  <c r="V39" i="6"/>
  <c r="Y38" i="6"/>
  <c r="X38" i="6"/>
  <c r="W38" i="6"/>
  <c r="V38" i="6"/>
  <c r="Y37" i="6"/>
  <c r="X37" i="6"/>
  <c r="W37" i="6"/>
  <c r="V37" i="6"/>
  <c r="Y36" i="6"/>
  <c r="X36" i="6"/>
  <c r="W36" i="6"/>
  <c r="V36" i="6"/>
  <c r="Y35" i="6"/>
  <c r="X35" i="6"/>
  <c r="W35" i="6"/>
  <c r="V35" i="6"/>
  <c r="Y34" i="6"/>
  <c r="X34" i="6"/>
  <c r="W34" i="6"/>
  <c r="V34" i="6"/>
  <c r="Y33" i="6"/>
  <c r="X33" i="6"/>
  <c r="W33" i="6"/>
  <c r="V33" i="6"/>
  <c r="Y32" i="6"/>
  <c r="X32" i="6"/>
  <c r="W32" i="6"/>
  <c r="V32" i="6"/>
  <c r="Y31" i="6"/>
  <c r="X31" i="6"/>
  <c r="W31" i="6"/>
  <c r="V31" i="6"/>
  <c r="Y30" i="6"/>
  <c r="X30" i="6"/>
  <c r="W30" i="6"/>
  <c r="V30" i="6"/>
  <c r="Y29" i="6"/>
  <c r="X29" i="6"/>
  <c r="W29" i="6"/>
  <c r="V29" i="6"/>
  <c r="Y28" i="6"/>
  <c r="X28" i="6"/>
  <c r="W28" i="6"/>
  <c r="V28" i="6"/>
  <c r="Y27" i="6"/>
  <c r="X27" i="6"/>
  <c r="W27" i="6"/>
  <c r="V27" i="6"/>
  <c r="Y26" i="6"/>
  <c r="X26" i="6"/>
  <c r="W26" i="6"/>
  <c r="V26" i="6"/>
  <c r="Y25" i="6"/>
  <c r="X25" i="6"/>
  <c r="W25" i="6"/>
  <c r="V25" i="6"/>
  <c r="Y24" i="6"/>
  <c r="X24" i="6"/>
  <c r="W24" i="6"/>
  <c r="V24" i="6"/>
  <c r="Y23" i="6"/>
  <c r="X23" i="6"/>
  <c r="W23" i="6"/>
  <c r="V23" i="6"/>
  <c r="Y22" i="6"/>
  <c r="X22" i="6"/>
  <c r="W22" i="6"/>
  <c r="V22" i="6"/>
  <c r="Y21" i="6"/>
  <c r="X21" i="6"/>
  <c r="W21" i="6"/>
  <c r="V21" i="6"/>
  <c r="Y20" i="6"/>
  <c r="X20" i="6"/>
  <c r="W20" i="6"/>
  <c r="V20" i="6"/>
  <c r="Y19" i="6"/>
  <c r="X19" i="6"/>
  <c r="W19" i="6"/>
  <c r="V19" i="6"/>
  <c r="Y18" i="6"/>
  <c r="X18" i="6"/>
  <c r="W18" i="6"/>
  <c r="V18" i="6"/>
  <c r="Y17" i="6"/>
  <c r="X17" i="6"/>
  <c r="W17" i="6"/>
  <c r="V17" i="6"/>
  <c r="Y16" i="6"/>
  <c r="X16" i="6"/>
  <c r="W16" i="6"/>
  <c r="V16" i="6"/>
  <c r="Y15" i="6"/>
  <c r="X15" i="6"/>
  <c r="W15" i="6"/>
  <c r="V15" i="6"/>
  <c r="Y14" i="6"/>
  <c r="X14" i="6"/>
  <c r="W14" i="6"/>
  <c r="V14" i="6"/>
  <c r="Y13" i="6"/>
  <c r="Y46" i="6" s="1"/>
  <c r="X13" i="6"/>
  <c r="W13" i="6"/>
  <c r="W46" i="6" s="1"/>
  <c r="V13" i="6"/>
  <c r="U45" i="6"/>
  <c r="U43" i="6"/>
  <c r="U35" i="6"/>
  <c r="P45" i="6"/>
  <c r="P44" i="6"/>
  <c r="P43" i="6"/>
  <c r="P42" i="6"/>
  <c r="P41" i="6"/>
  <c r="P40" i="6"/>
  <c r="P39" i="6"/>
  <c r="P38" i="6"/>
  <c r="P37" i="6"/>
  <c r="P36" i="6"/>
  <c r="P34" i="6"/>
  <c r="P33" i="6"/>
  <c r="P32" i="6"/>
  <c r="P31" i="6"/>
  <c r="P30" i="6"/>
  <c r="P29" i="6"/>
  <c r="P28" i="6"/>
  <c r="P27" i="6"/>
  <c r="P25" i="6"/>
  <c r="P24" i="6"/>
  <c r="P22" i="6"/>
  <c r="P21" i="6"/>
  <c r="P20" i="6"/>
  <c r="P18" i="6"/>
  <c r="P17" i="6"/>
  <c r="P15" i="6"/>
  <c r="P14" i="6"/>
  <c r="P13"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X46" i="6"/>
  <c r="S46" i="6"/>
  <c r="R46" i="6"/>
  <c r="J13" i="7" s="1"/>
  <c r="I13" i="7" s="1"/>
  <c r="AF46" i="6"/>
  <c r="O46" i="6"/>
  <c r="G14" i="7" s="1"/>
  <c r="N46" i="6"/>
  <c r="M46" i="6"/>
  <c r="G13" i="7" s="1"/>
  <c r="F13" i="7" s="1"/>
  <c r="L46" i="6"/>
  <c r="G12" i="7" s="1"/>
  <c r="F12" i="7" s="1"/>
  <c r="G19" i="11" s="1"/>
  <c r="J46" i="6"/>
  <c r="D14" i="7" s="1"/>
  <c r="C14" i="7" s="1"/>
  <c r="E19" i="11" s="1"/>
  <c r="E18" i="11" s="1"/>
  <c r="I46" i="6"/>
  <c r="H46" i="6"/>
  <c r="D13" i="7" s="1"/>
  <c r="N22" i="5"/>
  <c r="N19" i="5"/>
  <c r="N18" i="5"/>
  <c r="N17" i="5"/>
  <c r="N16" i="5"/>
  <c r="N15" i="5"/>
  <c r="N14" i="5"/>
  <c r="N13" i="5"/>
  <c r="K11" i="5"/>
  <c r="K20" i="5" s="1"/>
  <c r="K24" i="5" s="1"/>
  <c r="J19" i="5"/>
  <c r="J18" i="5"/>
  <c r="J30" i="11" s="1"/>
  <c r="AB30" i="11" s="1"/>
  <c r="E20" i="5"/>
  <c r="H11" i="5"/>
  <c r="H20" i="5" s="1"/>
  <c r="H24" i="5" s="1"/>
  <c r="G19" i="5"/>
  <c r="G31" i="11" s="1"/>
  <c r="G18" i="5"/>
  <c r="G30" i="11" s="1"/>
  <c r="F30" i="11" s="1"/>
  <c r="D19" i="5"/>
  <c r="D31" i="11" s="1"/>
  <c r="C31" i="11" s="1"/>
  <c r="D18" i="5"/>
  <c r="D30" i="11" s="1"/>
  <c r="C30" i="11" s="1"/>
  <c r="AB13"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F21" i="4"/>
  <c r="AE21" i="4"/>
  <c r="Y21" i="4"/>
  <c r="X21" i="4"/>
  <c r="M13" i="4"/>
  <c r="R21" i="4"/>
  <c r="G15" i="5" s="1"/>
  <c r="F15" i="5" s="1"/>
  <c r="K21" i="4"/>
  <c r="M20" i="4"/>
  <c r="M19" i="4"/>
  <c r="M18" i="4"/>
  <c r="M17" i="4"/>
  <c r="M16" i="4"/>
  <c r="M15" i="4"/>
  <c r="M14" i="4"/>
  <c r="F20" i="4"/>
  <c r="F19" i="4"/>
  <c r="F18" i="4"/>
  <c r="F17" i="4"/>
  <c r="F16" i="4"/>
  <c r="F15" i="4"/>
  <c r="F14" i="4"/>
  <c r="F13" i="4"/>
  <c r="S21" i="4"/>
  <c r="G17" i="5" s="1"/>
  <c r="L21" i="4"/>
  <c r="D17" i="5" s="1"/>
  <c r="E24" i="5"/>
  <c r="AA20" i="4"/>
  <c r="AA19" i="4"/>
  <c r="AA18" i="4"/>
  <c r="AD21" i="4"/>
  <c r="AA14" i="4"/>
  <c r="AG21" i="4"/>
  <c r="AC21" i="4"/>
  <c r="Z21" i="4"/>
  <c r="W21" i="4"/>
  <c r="V21" i="4"/>
  <c r="U21" i="4"/>
  <c r="Q21" i="4"/>
  <c r="G16" i="5" s="1"/>
  <c r="F16" i="5" s="1"/>
  <c r="H26" i="11" s="1"/>
  <c r="H25" i="11" s="1"/>
  <c r="H24" i="11" s="1"/>
  <c r="P21" i="4"/>
  <c r="G22" i="5" s="1"/>
  <c r="G32" i="11" s="1"/>
  <c r="F32" i="11" s="1"/>
  <c r="O21" i="4"/>
  <c r="G14" i="5" s="1"/>
  <c r="N21" i="4"/>
  <c r="G13" i="5" s="1"/>
  <c r="F13" i="5" s="1"/>
  <c r="J21" i="4"/>
  <c r="D16" i="5" s="1"/>
  <c r="C16" i="5" s="1"/>
  <c r="I21" i="4"/>
  <c r="D22" i="5" s="1"/>
  <c r="C22" i="5" s="1"/>
  <c r="H21" i="4"/>
  <c r="D14" i="5" s="1"/>
  <c r="D27" i="11" s="1"/>
  <c r="C27" i="11" s="1"/>
  <c r="D13" i="5"/>
  <c r="AA16" i="4"/>
  <c r="AA13" i="4"/>
  <c r="N10" i="7"/>
  <c r="N10" i="8"/>
  <c r="N16" i="8" s="1"/>
  <c r="F19" i="5"/>
  <c r="I18" i="5"/>
  <c r="C19" i="5"/>
  <c r="F18" i="5"/>
  <c r="I19" i="5"/>
  <c r="M18" i="5"/>
  <c r="L18" i="5" s="1"/>
  <c r="M19" i="5"/>
  <c r="L19" i="5" s="1"/>
  <c r="C18" i="5"/>
  <c r="G37" i="11"/>
  <c r="F37" i="11" s="1"/>
  <c r="L13" i="10"/>
  <c r="M19" i="10"/>
  <c r="G12" i="8" s="1"/>
  <c r="F12" i="8" s="1"/>
  <c r="D15" i="8"/>
  <c r="M15" i="8" s="1"/>
  <c r="L15" i="8" s="1"/>
  <c r="L18" i="10"/>
  <c r="L19" i="10" s="1"/>
  <c r="I15" i="7"/>
  <c r="J20" i="11" s="1"/>
  <c r="AB20" i="11" s="1"/>
  <c r="D12" i="7"/>
  <c r="C12" i="7" s="1"/>
  <c r="D19" i="11" s="1"/>
  <c r="D32" i="11"/>
  <c r="C32" i="11" s="1"/>
  <c r="G28" i="11"/>
  <c r="F28" i="11" s="1"/>
  <c r="D37" i="11"/>
  <c r="M37" i="11" s="1"/>
  <c r="L37" i="11" s="1"/>
  <c r="C15" i="8"/>
  <c r="C37" i="11"/>
  <c r="AI38" i="11" l="1"/>
  <c r="AI33" i="11" s="1"/>
  <c r="AI39" i="11" s="1"/>
  <c r="E43" i="11"/>
  <c r="AA15" i="4"/>
  <c r="M21" i="4"/>
  <c r="J36" i="11"/>
  <c r="I13" i="8"/>
  <c r="R19" i="10"/>
  <c r="G35" i="11"/>
  <c r="H38" i="11"/>
  <c r="H20" i="8"/>
  <c r="D36" i="11"/>
  <c r="C13" i="8"/>
  <c r="M13" i="8"/>
  <c r="L13" i="8" s="1"/>
  <c r="C14" i="8"/>
  <c r="E35" i="11"/>
  <c r="E34" i="11" s="1"/>
  <c r="E33" i="11" s="1"/>
  <c r="AC19" i="10"/>
  <c r="AA19" i="10"/>
  <c r="U27" i="6"/>
  <c r="J14" i="7"/>
  <c r="F46" i="6"/>
  <c r="C14" i="5"/>
  <c r="D15" i="5"/>
  <c r="C15" i="5" s="1"/>
  <c r="E26" i="11"/>
  <c r="E25" i="11" s="1"/>
  <c r="E24" i="11" s="1"/>
  <c r="AC12" i="11"/>
  <c r="AC11" i="11" s="1"/>
  <c r="AF13" i="11"/>
  <c r="AF12" i="11" s="1"/>
  <c r="AF11" i="11" s="1"/>
  <c r="D29" i="11"/>
  <c r="C29" i="11" s="1"/>
  <c r="C17" i="5"/>
  <c r="G27" i="11"/>
  <c r="F27" i="11" s="1"/>
  <c r="F14" i="5"/>
  <c r="F17" i="5"/>
  <c r="G29" i="11"/>
  <c r="F29" i="11" s="1"/>
  <c r="J13" i="5"/>
  <c r="J26" i="11" s="1"/>
  <c r="AB26" i="11" s="1"/>
  <c r="AE26" i="11" s="1"/>
  <c r="E85" i="20"/>
  <c r="J22" i="5"/>
  <c r="E87" i="20"/>
  <c r="F21" i="4"/>
  <c r="J16" i="5"/>
  <c r="M16" i="5" s="1"/>
  <c r="L16" i="5" s="1"/>
  <c r="E88" i="20"/>
  <c r="J14" i="5"/>
  <c r="E86" i="20"/>
  <c r="J17" i="5"/>
  <c r="E89" i="20"/>
  <c r="J15" i="5"/>
  <c r="E90" i="20"/>
  <c r="AE30" i="11"/>
  <c r="AD30" i="11" s="1"/>
  <c r="AA30" i="11"/>
  <c r="I16" i="5"/>
  <c r="AA17" i="4"/>
  <c r="AA21" i="4" s="1"/>
  <c r="N16" i="7"/>
  <c r="U13" i="6"/>
  <c r="U24" i="6"/>
  <c r="U25" i="6"/>
  <c r="U39" i="6"/>
  <c r="U36" i="6"/>
  <c r="U19" i="6"/>
  <c r="U26" i="6"/>
  <c r="U28" i="6"/>
  <c r="U30" i="6"/>
  <c r="U31" i="6"/>
  <c r="U32" i="6"/>
  <c r="U34" i="6"/>
  <c r="U40" i="6"/>
  <c r="U42" i="6"/>
  <c r="U44" i="6"/>
  <c r="AA20" i="11"/>
  <c r="AE20" i="11"/>
  <c r="AD20" i="11" s="1"/>
  <c r="U23" i="6"/>
  <c r="U29" i="6"/>
  <c r="U33" i="6"/>
  <c r="U37" i="6"/>
  <c r="U41" i="6"/>
  <c r="K46" i="6"/>
  <c r="F14" i="7"/>
  <c r="H19" i="11" s="1"/>
  <c r="G10" i="7"/>
  <c r="U38" i="6"/>
  <c r="U15" i="6"/>
  <c r="U14" i="6"/>
  <c r="U16" i="6"/>
  <c r="U17" i="6"/>
  <c r="U18" i="6"/>
  <c r="U20" i="6"/>
  <c r="U21" i="6"/>
  <c r="U22" i="6"/>
  <c r="D10" i="7"/>
  <c r="V46" i="6"/>
  <c r="I37" i="11"/>
  <c r="AB37" i="11"/>
  <c r="H35" i="11"/>
  <c r="H34" i="11" s="1"/>
  <c r="H33" i="11" s="1"/>
  <c r="F14" i="8"/>
  <c r="F35" i="11"/>
  <c r="G36" i="11"/>
  <c r="F36" i="11" s="1"/>
  <c r="F13" i="8"/>
  <c r="G10" i="8"/>
  <c r="AC38" i="11"/>
  <c r="AA38" i="11" s="1"/>
  <c r="N38" i="11"/>
  <c r="K20" i="8"/>
  <c r="AB19" i="10"/>
  <c r="Z19" i="10"/>
  <c r="Y19" i="10"/>
  <c r="D38" i="11"/>
  <c r="C12" i="8"/>
  <c r="D10" i="8"/>
  <c r="D35" i="11"/>
  <c r="C35" i="11" s="1"/>
  <c r="N11" i="5"/>
  <c r="N20" i="5" s="1"/>
  <c r="N24" i="5" s="1"/>
  <c r="AB21" i="4"/>
  <c r="P46" i="6"/>
  <c r="J12" i="7"/>
  <c r="AE46" i="6"/>
  <c r="F22" i="5"/>
  <c r="I20" i="11"/>
  <c r="M20" i="11"/>
  <c r="L20" i="11" s="1"/>
  <c r="M15" i="7"/>
  <c r="L15" i="7" s="1"/>
  <c r="X13" i="10"/>
  <c r="X19" i="10" s="1"/>
  <c r="G26" i="11"/>
  <c r="F26" i="11" s="1"/>
  <c r="I30" i="11"/>
  <c r="M30" i="11"/>
  <c r="L30" i="11" s="1"/>
  <c r="F31" i="11"/>
  <c r="D11" i="5"/>
  <c r="D20" i="5" s="1"/>
  <c r="D24" i="5" s="1"/>
  <c r="D26" i="11"/>
  <c r="I22" i="5"/>
  <c r="J32" i="11"/>
  <c r="AB32" i="11" s="1"/>
  <c r="G11" i="5"/>
  <c r="G20" i="5" s="1"/>
  <c r="G24" i="5" s="1"/>
  <c r="M22" i="5"/>
  <c r="L22" i="5" s="1"/>
  <c r="J31" i="11"/>
  <c r="AB31" i="11" s="1"/>
  <c r="D18" i="11"/>
  <c r="C18" i="11" s="1"/>
  <c r="C19" i="11"/>
  <c r="K26" i="11"/>
  <c r="AC26" i="11" s="1"/>
  <c r="I13" i="5"/>
  <c r="J11" i="5"/>
  <c r="C13" i="5"/>
  <c r="H18" i="11"/>
  <c r="F19" i="11"/>
  <c r="F38" i="11"/>
  <c r="F18" i="8"/>
  <c r="M18" i="8"/>
  <c r="I18" i="8"/>
  <c r="C18" i="8"/>
  <c r="N18" i="8"/>
  <c r="N20" i="8" s="1"/>
  <c r="E20" i="8"/>
  <c r="C13" i="7"/>
  <c r="M13" i="7"/>
  <c r="I14" i="7"/>
  <c r="K19" i="11" s="1"/>
  <c r="AC19" i="11" s="1"/>
  <c r="M14" i="7"/>
  <c r="L14" i="7" s="1"/>
  <c r="F20" i="11"/>
  <c r="G18" i="11"/>
  <c r="J35" i="11"/>
  <c r="AB35" i="11" s="1"/>
  <c r="M12" i="8"/>
  <c r="L12" i="8" s="1"/>
  <c r="I12" i="8"/>
  <c r="J10" i="8"/>
  <c r="M14" i="8"/>
  <c r="L14" i="8" s="1"/>
  <c r="I14" i="8"/>
  <c r="K35" i="11"/>
  <c r="AC35" i="11" s="1"/>
  <c r="F14" i="11"/>
  <c r="AB14" i="11"/>
  <c r="H39" i="11"/>
  <c r="C14" i="11"/>
  <c r="AB17" i="11"/>
  <c r="I15" i="8"/>
  <c r="AB16" i="11"/>
  <c r="AB15" i="11"/>
  <c r="AB22" i="11"/>
  <c r="AC22" i="11"/>
  <c r="AB23" i="11"/>
  <c r="I12" i="7" l="1"/>
  <c r="J19" i="11" s="1"/>
  <c r="AB19" i="11" s="1"/>
  <c r="J10" i="7"/>
  <c r="C38" i="11"/>
  <c r="AH38" i="11"/>
  <c r="F18" i="11"/>
  <c r="G34" i="11"/>
  <c r="F34" i="11" s="1"/>
  <c r="AB36" i="11"/>
  <c r="I36" i="11"/>
  <c r="C36" i="11"/>
  <c r="M36" i="11"/>
  <c r="L36" i="11" s="1"/>
  <c r="U46" i="6"/>
  <c r="D28" i="11"/>
  <c r="C28" i="11" s="1"/>
  <c r="J18" i="11"/>
  <c r="AE16" i="11"/>
  <c r="AD16" i="11" s="1"/>
  <c r="AA16" i="11"/>
  <c r="AE17" i="11"/>
  <c r="AD17" i="11" s="1"/>
  <c r="AA17" i="11"/>
  <c r="AE15" i="11"/>
  <c r="AD15" i="11" s="1"/>
  <c r="AA15" i="11"/>
  <c r="AE14" i="11"/>
  <c r="AD14" i="11" s="1"/>
  <c r="AA14" i="11"/>
  <c r="AF22" i="11"/>
  <c r="AF21" i="11" s="1"/>
  <c r="AC21" i="11"/>
  <c r="AE23" i="11"/>
  <c r="AD23" i="11" s="1"/>
  <c r="AA23" i="11"/>
  <c r="AE22" i="11"/>
  <c r="AA22" i="11"/>
  <c r="AB21" i="11"/>
  <c r="AA21" i="11" s="1"/>
  <c r="G25" i="11"/>
  <c r="F11" i="5"/>
  <c r="F20" i="5" s="1"/>
  <c r="F24" i="5" s="1"/>
  <c r="M13" i="5"/>
  <c r="M15" i="5"/>
  <c r="L15" i="5" s="1"/>
  <c r="I15" i="5"/>
  <c r="J28" i="11"/>
  <c r="F89" i="20"/>
  <c r="G89" i="20"/>
  <c r="G86" i="20"/>
  <c r="F86" i="20"/>
  <c r="G88" i="20"/>
  <c r="F88" i="20"/>
  <c r="G90" i="20"/>
  <c r="F90" i="20"/>
  <c r="J29" i="11"/>
  <c r="M17" i="5"/>
  <c r="L17" i="5" s="1"/>
  <c r="I17" i="5"/>
  <c r="M14" i="5"/>
  <c r="I14" i="5"/>
  <c r="J27" i="11"/>
  <c r="F87" i="20"/>
  <c r="G87" i="20"/>
  <c r="F85" i="20"/>
  <c r="F83" i="20" s="1"/>
  <c r="G85" i="20"/>
  <c r="E83" i="20"/>
  <c r="G83" i="20" s="1"/>
  <c r="AE31" i="11"/>
  <c r="AD31" i="11" s="1"/>
  <c r="AA31" i="11"/>
  <c r="AF26" i="11"/>
  <c r="AF25" i="11" s="1"/>
  <c r="AF24" i="11" s="1"/>
  <c r="AC25" i="11"/>
  <c r="AC24" i="11" s="1"/>
  <c r="AA26" i="11"/>
  <c r="AE32" i="11"/>
  <c r="AD32" i="11" s="1"/>
  <c r="AA32" i="11"/>
  <c r="C11" i="5"/>
  <c r="C20" i="5" s="1"/>
  <c r="C24" i="5" s="1"/>
  <c r="AD26" i="11"/>
  <c r="M12" i="7"/>
  <c r="L12" i="7" s="1"/>
  <c r="AC18" i="11"/>
  <c r="AF19" i="11"/>
  <c r="AF18" i="11" s="1"/>
  <c r="M19" i="11"/>
  <c r="M18" i="11" s="1"/>
  <c r="AE19" i="11"/>
  <c r="AA19" i="11"/>
  <c r="AB18" i="11"/>
  <c r="F10" i="7"/>
  <c r="G16" i="7"/>
  <c r="F16" i="7" s="1"/>
  <c r="C10" i="7"/>
  <c r="D16" i="7"/>
  <c r="C16" i="7" s="1"/>
  <c r="AA37" i="11"/>
  <c r="AE37" i="11"/>
  <c r="AD37" i="11" s="1"/>
  <c r="F10" i="8"/>
  <c r="G16" i="8"/>
  <c r="AF35" i="11"/>
  <c r="AF34" i="11" s="1"/>
  <c r="AF33" i="11" s="1"/>
  <c r="AC34" i="11"/>
  <c r="AC33" i="11" s="1"/>
  <c r="AE35" i="11"/>
  <c r="AA35" i="11"/>
  <c r="AB34" i="11"/>
  <c r="D34" i="11"/>
  <c r="C10" i="8"/>
  <c r="D16" i="8"/>
  <c r="M31" i="11"/>
  <c r="L31" i="11" s="1"/>
  <c r="I31" i="11"/>
  <c r="J25" i="11"/>
  <c r="C26" i="11"/>
  <c r="D25" i="11"/>
  <c r="M26" i="11"/>
  <c r="G24" i="11"/>
  <c r="F25" i="11"/>
  <c r="F24" i="11" s="1"/>
  <c r="N13" i="11"/>
  <c r="N12" i="11" s="1"/>
  <c r="N11" i="11" s="1"/>
  <c r="E11" i="11"/>
  <c r="E39" i="11" s="1"/>
  <c r="E44" i="11" s="1"/>
  <c r="M16" i="11"/>
  <c r="L16" i="11" s="1"/>
  <c r="I16" i="11"/>
  <c r="K34" i="11"/>
  <c r="K33" i="11" s="1"/>
  <c r="N35" i="11"/>
  <c r="N34" i="11" s="1"/>
  <c r="N33" i="11" s="1"/>
  <c r="J34" i="11"/>
  <c r="M35" i="11"/>
  <c r="I35" i="11"/>
  <c r="J16" i="7"/>
  <c r="I10" i="7"/>
  <c r="I19" i="11"/>
  <c r="K18" i="11"/>
  <c r="N19" i="11"/>
  <c r="N18" i="11" s="1"/>
  <c r="L18" i="8"/>
  <c r="G33" i="11"/>
  <c r="M23" i="11"/>
  <c r="L23" i="11" s="1"/>
  <c r="I23" i="11"/>
  <c r="J21" i="11"/>
  <c r="I22" i="11"/>
  <c r="M22" i="11"/>
  <c r="K21" i="11"/>
  <c r="N22" i="11"/>
  <c r="N21" i="11" s="1"/>
  <c r="C22" i="11"/>
  <c r="G21" i="11"/>
  <c r="F21" i="11" s="1"/>
  <c r="F22" i="11"/>
  <c r="C17" i="11"/>
  <c r="F17" i="11"/>
  <c r="I15" i="11"/>
  <c r="M15" i="11"/>
  <c r="L15" i="11" s="1"/>
  <c r="I17" i="11"/>
  <c r="M17" i="11"/>
  <c r="L17" i="11" s="1"/>
  <c r="M14" i="11"/>
  <c r="L14" i="11" s="1"/>
  <c r="I14" i="11"/>
  <c r="J16" i="8"/>
  <c r="I10" i="8"/>
  <c r="M10" i="8"/>
  <c r="L13" i="7"/>
  <c r="I38" i="11"/>
  <c r="M38" i="11"/>
  <c r="L38" i="11" s="1"/>
  <c r="I11" i="5"/>
  <c r="I20" i="5" s="1"/>
  <c r="J20" i="5"/>
  <c r="N26" i="11"/>
  <c r="I26" i="11"/>
  <c r="K25" i="11"/>
  <c r="I24" i="5" l="1"/>
  <c r="I26" i="5" s="1"/>
  <c r="I21" i="11"/>
  <c r="AG38" i="11"/>
  <c r="AH33" i="11"/>
  <c r="AE36" i="11"/>
  <c r="AD36" i="11" s="1"/>
  <c r="AA36" i="11"/>
  <c r="M10" i="7"/>
  <c r="L10" i="7" s="1"/>
  <c r="I18" i="11"/>
  <c r="L19" i="11"/>
  <c r="AC39" i="11"/>
  <c r="AE21" i="11"/>
  <c r="AD21" i="11" s="1"/>
  <c r="AD22" i="11"/>
  <c r="L13" i="5"/>
  <c r="AB29" i="11"/>
  <c r="I29" i="11"/>
  <c r="M29" i="11"/>
  <c r="L29" i="11" s="1"/>
  <c r="AB27" i="11"/>
  <c r="M27" i="11"/>
  <c r="L27" i="11" s="1"/>
  <c r="I27" i="11"/>
  <c r="L14" i="5"/>
  <c r="M11" i="5"/>
  <c r="AB28" i="11"/>
  <c r="I28" i="11"/>
  <c r="M28" i="11"/>
  <c r="L28" i="11" s="1"/>
  <c r="AF39" i="11"/>
  <c r="AA18" i="11"/>
  <c r="AD19" i="11"/>
  <c r="AE18" i="11"/>
  <c r="AD18" i="11" s="1"/>
  <c r="G20" i="8"/>
  <c r="F16" i="8"/>
  <c r="F20" i="8" s="1"/>
  <c r="AA34" i="11"/>
  <c r="AB33" i="11"/>
  <c r="AD35" i="11"/>
  <c r="AE34" i="11"/>
  <c r="C16" i="8"/>
  <c r="C20" i="8" s="1"/>
  <c r="D20" i="8"/>
  <c r="C34" i="11"/>
  <c r="D33" i="11"/>
  <c r="C33" i="11" s="1"/>
  <c r="L18" i="11"/>
  <c r="D24" i="11"/>
  <c r="C25" i="11"/>
  <c r="C24" i="11" s="1"/>
  <c r="L22" i="11"/>
  <c r="M21" i="11"/>
  <c r="L21" i="11" s="1"/>
  <c r="J33" i="11"/>
  <c r="I34" i="11"/>
  <c r="F13" i="11"/>
  <c r="J24" i="5"/>
  <c r="K24" i="11"/>
  <c r="K39" i="11" s="1"/>
  <c r="K44" i="11" s="1"/>
  <c r="I25" i="11"/>
  <c r="N25" i="11"/>
  <c r="L26" i="11"/>
  <c r="L10" i="8"/>
  <c r="M16" i="8"/>
  <c r="I16" i="8"/>
  <c r="I20" i="8" s="1"/>
  <c r="J20" i="8"/>
  <c r="F33" i="11"/>
  <c r="I16" i="7"/>
  <c r="I18" i="7" s="1"/>
  <c r="M16" i="7"/>
  <c r="L16" i="7" s="1"/>
  <c r="M34" i="11"/>
  <c r="L35" i="11"/>
  <c r="C13" i="11"/>
  <c r="AH39" i="11" l="1"/>
  <c r="AG33" i="11"/>
  <c r="AG39" i="11" s="1"/>
  <c r="AA28" i="11"/>
  <c r="AE28" i="11"/>
  <c r="AD28" i="11" s="1"/>
  <c r="AE29" i="11"/>
  <c r="AD29" i="11" s="1"/>
  <c r="AA29" i="11"/>
  <c r="M20" i="5"/>
  <c r="M24" i="5" s="1"/>
  <c r="L11" i="5"/>
  <c r="L20" i="5" s="1"/>
  <c r="L24" i="5" s="1"/>
  <c r="AA27" i="11"/>
  <c r="AE27" i="11"/>
  <c r="AB25" i="11"/>
  <c r="M25" i="11"/>
  <c r="L25" i="11" s="1"/>
  <c r="AD34" i="11"/>
  <c r="AE33" i="11"/>
  <c r="AA33" i="11"/>
  <c r="D11" i="11"/>
  <c r="L16" i="8"/>
  <c r="L20" i="8" s="1"/>
  <c r="M20" i="8"/>
  <c r="M33" i="11"/>
  <c r="L34" i="11"/>
  <c r="N24" i="11"/>
  <c r="N39" i="11" s="1"/>
  <c r="M32" i="11"/>
  <c r="J24" i="11"/>
  <c r="I32" i="11"/>
  <c r="I24" i="11" s="1"/>
  <c r="F12" i="11"/>
  <c r="I33" i="11"/>
  <c r="AD27" i="11" l="1"/>
  <c r="AE25" i="11"/>
  <c r="AB24" i="11"/>
  <c r="AA25" i="11"/>
  <c r="AA24" i="11" s="1"/>
  <c r="AD33" i="11"/>
  <c r="F11" i="11"/>
  <c r="F39" i="11" s="1"/>
  <c r="G39" i="11"/>
  <c r="L32" i="11"/>
  <c r="M24" i="11"/>
  <c r="C11" i="11"/>
  <c r="C39" i="11" s="1"/>
  <c r="D39" i="11"/>
  <c r="L24" i="11"/>
  <c r="L33" i="11"/>
  <c r="AE24" i="11" l="1"/>
  <c r="AD25" i="11"/>
  <c r="AD24" i="11" s="1"/>
  <c r="AB13" i="11" l="1"/>
  <c r="AE13" i="11" l="1"/>
  <c r="AA13" i="11"/>
  <c r="AB12" i="11"/>
  <c r="I13" i="11"/>
  <c r="M13" i="11"/>
  <c r="AA12" i="11" l="1"/>
  <c r="AB11" i="11"/>
  <c r="AD13" i="11"/>
  <c r="AE12" i="11"/>
  <c r="L13" i="11"/>
  <c r="M12" i="11"/>
  <c r="I12" i="11"/>
  <c r="J11" i="11"/>
  <c r="AE11" i="11" l="1"/>
  <c r="AD12" i="11"/>
  <c r="AA11" i="11"/>
  <c r="AA39" i="11" s="1"/>
  <c r="AB39" i="11"/>
  <c r="I11" i="11"/>
  <c r="I39" i="11" s="1"/>
  <c r="J39" i="11"/>
  <c r="L12" i="11"/>
  <c r="M11" i="11"/>
  <c r="AI42" i="11" l="1"/>
  <c r="I42" i="11"/>
  <c r="AD11" i="11"/>
  <c r="AD39" i="11" s="1"/>
  <c r="AE39" i="11"/>
  <c r="L11" i="11"/>
  <c r="L39" i="11" s="1"/>
  <c r="M39" i="11"/>
</calcChain>
</file>

<file path=xl/sharedStrings.xml><?xml version="1.0" encoding="utf-8"?>
<sst xmlns="http://schemas.openxmlformats.org/spreadsheetml/2006/main" count="2879" uniqueCount="641">
  <si>
    <t>Organizace v oblasti kultury</t>
  </si>
  <si>
    <t>ORJ - 13</t>
  </si>
  <si>
    <t>Správce:</t>
  </si>
  <si>
    <t>PhDr. Jindřich Garčic</t>
  </si>
  <si>
    <t>vedoucí odboru</t>
  </si>
  <si>
    <t>v tis. Kč</t>
  </si>
  <si>
    <t>Nárůst /v tis. Kč/</t>
  </si>
  <si>
    <t>Rozpočtová skladba</t>
  </si>
  <si>
    <t>Okres</t>
  </si>
  <si>
    <t>Název organizace</t>
  </si>
  <si>
    <t>Z toho :</t>
  </si>
  <si>
    <t>Neinvestiční příspěvek celkem OK</t>
  </si>
  <si>
    <t>Příspěvek na provoz</t>
  </si>
  <si>
    <t>Příspěvek na provoz-mzdové náklady</t>
  </si>
  <si>
    <t>Příspěvek na provoz-nájemné</t>
  </si>
  <si>
    <t>Příspěvek na provoz-odpisy</t>
  </si>
  <si>
    <t>org.</t>
  </si>
  <si>
    <t>§</t>
  </si>
  <si>
    <t>/UZ 00 020/</t>
  </si>
  <si>
    <t>/UZ 00 027/</t>
  </si>
  <si>
    <t>/UZ 00 023/</t>
  </si>
  <si>
    <t>/UZ 00 006/</t>
  </si>
  <si>
    <t>pol. 5331</t>
  </si>
  <si>
    <t>0030003000000</t>
  </si>
  <si>
    <t>3319</t>
  </si>
  <si>
    <t>0030003001601</t>
  </si>
  <si>
    <t>3314</t>
  </si>
  <si>
    <t>Vědecká knihovna v Olomouci</t>
  </si>
  <si>
    <t>0030003001602</t>
  </si>
  <si>
    <t>3315</t>
  </si>
  <si>
    <t>Vlastivědné muzeum v Olomouci</t>
  </si>
  <si>
    <t>0030003001603</t>
  </si>
  <si>
    <t>Vlastivědné muzeum Jesenicka, p. o.</t>
  </si>
  <si>
    <t>0030003001604</t>
  </si>
  <si>
    <t>0030003001606</t>
  </si>
  <si>
    <t>Muzeum Komenského v Přerově, p. o.</t>
  </si>
  <si>
    <t>0030003001607</t>
  </si>
  <si>
    <t>Vlastivědné muzeum v Šumperku, p. o.</t>
  </si>
  <si>
    <t>0030003001608</t>
  </si>
  <si>
    <t>Archeologické centrum Olomouc, p. o.</t>
  </si>
  <si>
    <t>CELKEM</t>
  </si>
  <si>
    <t>Celkem</t>
  </si>
  <si>
    <t>-    Nájemné (UZ 00 023)</t>
  </si>
  <si>
    <t>-    REZERVA (UZ 00 201)</t>
  </si>
  <si>
    <t>-    REZERVA (UZ 00 020)</t>
  </si>
  <si>
    <t xml:space="preserve">             - odpisy (UZ 00 006)</t>
  </si>
  <si>
    <t xml:space="preserve">             - příspěvek na provoz (UZ 00 013)</t>
  </si>
  <si>
    <t xml:space="preserve">             - příspěvek na provoz-mzdy (UZ 00 027)</t>
  </si>
  <si>
    <t xml:space="preserve">             - příspěvek na provoz (UZ 00 020)</t>
  </si>
  <si>
    <t xml:space="preserve">         Z toho:</t>
  </si>
  <si>
    <t>-    Příspěvkové organizace</t>
  </si>
  <si>
    <t>sl.12=sl.9-sl.3</t>
  </si>
  <si>
    <t>sl.11=sl.8-sl.2</t>
  </si>
  <si>
    <t>sl.10=sl.7-sl.1</t>
  </si>
  <si>
    <t>sl.9</t>
  </si>
  <si>
    <t>sl.8</t>
  </si>
  <si>
    <t>sl.7=sl.8+sl.9</t>
  </si>
  <si>
    <t>sl.6</t>
  </si>
  <si>
    <t>sl.5</t>
  </si>
  <si>
    <t>sl.4=sl.5+sl.6</t>
  </si>
  <si>
    <t>sl.3</t>
  </si>
  <si>
    <t>sl.2</t>
  </si>
  <si>
    <t>sl.1=sl.2+sl.3</t>
  </si>
  <si>
    <t>b) Investiční příspěvek celkem Ok</t>
  </si>
  <si>
    <t>a) Neinvest. příspěvek celkem Ok</t>
  </si>
  <si>
    <t>Celkem příspěvek OK</t>
  </si>
  <si>
    <t>Organizace</t>
  </si>
  <si>
    <t xml:space="preserve">              vedoucí odboru</t>
  </si>
  <si>
    <t>Správce: PhDr. Jindřich Garčic</t>
  </si>
  <si>
    <t>/UZ 00 201/</t>
  </si>
  <si>
    <r>
      <t xml:space="preserve">Příspěvek na provoz  </t>
    </r>
    <r>
      <rPr>
        <sz val="6"/>
        <rFont val="Arial"/>
        <family val="2"/>
        <charset val="238"/>
      </rPr>
      <t>(záchr. archeolog. výzkum)</t>
    </r>
  </si>
  <si>
    <t xml:space="preserve">Rezerva pro příspěvkové organizace </t>
  </si>
  <si>
    <t>/UZ 00 013/</t>
  </si>
  <si>
    <r>
      <t xml:space="preserve">Příspěvek na provoz  </t>
    </r>
    <r>
      <rPr>
        <sz val="6"/>
        <rFont val="Arial"/>
        <family val="2"/>
        <charset val="238"/>
      </rPr>
      <t>(projekt Detektory kovů)</t>
    </r>
  </si>
  <si>
    <t xml:space="preserve">Příspěvek na provoz  </t>
  </si>
  <si>
    <r>
      <t xml:space="preserve">                 -  neinvest. příspěvky zřízeným PO</t>
    </r>
    <r>
      <rPr>
        <sz val="8"/>
        <rFont val="Arial"/>
        <family val="2"/>
        <charset val="238"/>
      </rPr>
      <t xml:space="preserve"> (UZ 00 201)</t>
    </r>
  </si>
  <si>
    <t>0030002001663</t>
  </si>
  <si>
    <t>4357</t>
  </si>
  <si>
    <t>0030002001662</t>
  </si>
  <si>
    <t>0030002001661</t>
  </si>
  <si>
    <t>0030002001660</t>
  </si>
  <si>
    <t>0030002001659</t>
  </si>
  <si>
    <t>0030002001658</t>
  </si>
  <si>
    <t>0030002001657</t>
  </si>
  <si>
    <t>0030002001656</t>
  </si>
  <si>
    <t>0030002001655</t>
  </si>
  <si>
    <t>4351</t>
  </si>
  <si>
    <t>0030002001654</t>
  </si>
  <si>
    <t>0030002001653</t>
  </si>
  <si>
    <t>0030002001652</t>
  </si>
  <si>
    <t>0030002001651</t>
  </si>
  <si>
    <t>4356</t>
  </si>
  <si>
    <t>0030002001650</t>
  </si>
  <si>
    <t>0030002001649</t>
  </si>
  <si>
    <t>4354</t>
  </si>
  <si>
    <t>0030002001648</t>
  </si>
  <si>
    <t>0030002001647</t>
  </si>
  <si>
    <t>0030002001646</t>
  </si>
  <si>
    <t>0030002001645</t>
  </si>
  <si>
    <t>0030002001644</t>
  </si>
  <si>
    <t>4372</t>
  </si>
  <si>
    <t>0030002001642</t>
  </si>
  <si>
    <t>0030002001641</t>
  </si>
  <si>
    <t>0030002001640</t>
  </si>
  <si>
    <t>0030002001639</t>
  </si>
  <si>
    <t>0030002001638</t>
  </si>
  <si>
    <t>0030002001637</t>
  </si>
  <si>
    <t>0030002001636</t>
  </si>
  <si>
    <t>0030002001635</t>
  </si>
  <si>
    <t>0030002001634</t>
  </si>
  <si>
    <t>0030002001633</t>
  </si>
  <si>
    <t>Domov důchodců Kobylá nad Vidnavkou, p. o.</t>
  </si>
  <si>
    <t>0030002001632</t>
  </si>
  <si>
    <t>Domov pro seniory Javorník, p. o.</t>
  </si>
  <si>
    <t>0030002001631</t>
  </si>
  <si>
    <t>0030002000000</t>
  </si>
  <si>
    <t>4399</t>
  </si>
  <si>
    <t>ORJ - 11</t>
  </si>
  <si>
    <t>Organizace v oblasti sociálních služeb</t>
  </si>
  <si>
    <t>Rezerva pro příspěvkové organizace(UZ 00 020)</t>
  </si>
  <si>
    <t>Domov Sněženka Jeseník,p.o.</t>
  </si>
  <si>
    <t>Středisko pečovatelské služby Jeseník, p.o.</t>
  </si>
  <si>
    <t>Domov důchodců Červenka, p.o.</t>
  </si>
  <si>
    <t>Domov seniorů FRANTIŠEK Náměšť na Hané, p.o.</t>
  </si>
  <si>
    <t>Domov důchodců Hrubá Voda, p.o.</t>
  </si>
  <si>
    <t>Domov seniorů POHODA Chválkovice, p.o.</t>
  </si>
  <si>
    <t>Sociální služby pro seniory Olomouc, p.o.</t>
  </si>
  <si>
    <t>Vincentinum - poskytovatel soc. služeb Šternberk, p.o.</t>
  </si>
  <si>
    <t>Klíč - centrum sociálních služeb, p.o.</t>
  </si>
  <si>
    <t>Nové Zámky - poskytovatel sociálních služeb, p.o.</t>
  </si>
  <si>
    <t>Domov důchodců Šumperk, p.o.</t>
  </si>
  <si>
    <t>Domov důchodců Libina, p.o.</t>
  </si>
  <si>
    <t>Domov důchodců Štíty, p.o.</t>
  </si>
  <si>
    <t>Sociální služby Šumperk, p.o.</t>
  </si>
  <si>
    <t>Penzion pro důchodce Loštice, p.o.</t>
  </si>
  <si>
    <t>Domov Paprsek Olšany, p.o.</t>
  </si>
  <si>
    <t>Duha - centrum sociálních služeb Vikýřovice, p.o.</t>
  </si>
  <si>
    <t>Domov důchodců Prostějov, p.o.</t>
  </si>
  <si>
    <t>Domov důchodců Jesenec, p.o.</t>
  </si>
  <si>
    <t>Domov "Na Zámku" , p.o.</t>
  </si>
  <si>
    <t>Sociální služby Prostějov, p.o.</t>
  </si>
  <si>
    <t>Centrum sociálních služeb Prostějov, p.o.</t>
  </si>
  <si>
    <t>Domov pro seniory Radkova Lhota, p.o.</t>
  </si>
  <si>
    <t>Domov Alfreda Skeneho Pavlovice u Přerova, p.o.</t>
  </si>
  <si>
    <t>Domov pro seniory Tovačov, p.o.</t>
  </si>
  <si>
    <t>Domov Větrný mlýn Skalička, p.o.</t>
  </si>
  <si>
    <t>Centrum Dominika Kokory, p.o.</t>
  </si>
  <si>
    <t>Domov ADAM Dřevohostice, p.o.</t>
  </si>
  <si>
    <t>Domov Na zámečku Rokytnice, p.o.</t>
  </si>
  <si>
    <t>ORJ - 14</t>
  </si>
  <si>
    <t>Organizace v oblasti zdravotnictví</t>
  </si>
  <si>
    <t>0030005001704</t>
  </si>
  <si>
    <t>3533</t>
  </si>
  <si>
    <t>0030005001703</t>
  </si>
  <si>
    <t>3529</t>
  </si>
  <si>
    <t>0030005001702</t>
  </si>
  <si>
    <t>0030005001701</t>
  </si>
  <si>
    <t>3523</t>
  </si>
  <si>
    <t>0030005001700</t>
  </si>
  <si>
    <t>Rezerva pro příspěvkové organizace (zdravotnictví)</t>
  </si>
  <si>
    <t>0030005000000</t>
  </si>
  <si>
    <t>3599</t>
  </si>
  <si>
    <t>Odborný léčebný ústav Paseka, p.o.</t>
  </si>
  <si>
    <t>Odborný léčebný ústav neurologicko-geriatrický Moravský Beroun,p.o.</t>
  </si>
  <si>
    <t>Dětské centrum Pavučinka Šumperk, p.o.</t>
  </si>
  <si>
    <t>Celkem příspěvkové organizace</t>
  </si>
  <si>
    <t>b) nájemné /UZ 00 023/</t>
  </si>
  <si>
    <t xml:space="preserve">    - REZERVA /UZ 00 020/</t>
  </si>
  <si>
    <t xml:space="preserve">    - příspěvek na provoz /UZ 00 027/</t>
  </si>
  <si>
    <t xml:space="preserve">    - příspěvek na provoz /UZ 00 020/</t>
  </si>
  <si>
    <t>a) organizace - příspěvek na provoz</t>
  </si>
  <si>
    <t xml:space="preserve">    - REZERVA /UZ 00 201/</t>
  </si>
  <si>
    <t xml:space="preserve">    - UZ 00 201 - Neinvest. příspěvky zřízeným PO</t>
  </si>
  <si>
    <t xml:space="preserve">    - příspěvek na provoz /UZ 00 013/</t>
  </si>
  <si>
    <t>Organizace v oblasti dopravy</t>
  </si>
  <si>
    <t>Organizace v oblasti sociální</t>
  </si>
  <si>
    <t xml:space="preserve">    - REZERVA /UZ 00 006/</t>
  </si>
  <si>
    <t>Organizace v oblasti školství</t>
  </si>
  <si>
    <t>Příspěvek celkem</t>
  </si>
  <si>
    <t/>
  </si>
  <si>
    <t>Příspěvek na provoz /odpisy UZ 00 006/</t>
  </si>
  <si>
    <t>pol. 6351</t>
  </si>
  <si>
    <r>
      <t xml:space="preserve">Investiční příspěvek celkem OK </t>
    </r>
    <r>
      <rPr>
        <b/>
        <sz val="6"/>
        <rFont val="Arial"/>
        <family val="2"/>
        <charset val="238"/>
      </rPr>
      <t>(příspěvek na provoz - nájemné -investiční)</t>
    </r>
  </si>
  <si>
    <t>pol.6351</t>
  </si>
  <si>
    <t>Komentář :</t>
  </si>
  <si>
    <t xml:space="preserve"> - příspěvek na provoz</t>
  </si>
  <si>
    <t xml:space="preserve"> -  limit mzdových prostředků</t>
  </si>
  <si>
    <t xml:space="preserve"> - rezerva </t>
  </si>
  <si>
    <t xml:space="preserve"> - příspěvek na odpisy</t>
  </si>
  <si>
    <t xml:space="preserve"> - odvody z investičního fondu</t>
  </si>
  <si>
    <t>Odvod z investičního fondu je ve výši 100 000,- Kč a vztahuje se k příspěvkové organizaci Vlastivědné muzeum v Olomouci. Odvod je nařízen v rámci  projektu „Brána poznání otevřena“ (Rekonstrukce depozitářů Vlastivědného muzea v Olomouci). Dle podmínek FM EHP/Norsko je příjemce dotace povinen zajistit údržbu majetku spolufinancovaného z dotace. Na údržbu majetku je povinen vyčlenit finanční prostředky ve výši minimálně 0,5 % ze skutečných celkových výdajů projektu.</t>
  </si>
  <si>
    <t xml:space="preserve"> - Příspěvek na nájemné</t>
  </si>
  <si>
    <t>Příspěvky z nájemného jsou zahrnuty ve výši uzavřených smluv.</t>
  </si>
  <si>
    <t xml:space="preserve">Komentář :     </t>
  </si>
  <si>
    <t xml:space="preserve"> - Příspěvek na provoz</t>
  </si>
  <si>
    <t xml:space="preserve"> -  Příspěvek na provoz - odpisy</t>
  </si>
  <si>
    <t xml:space="preserve"> - Rezerva</t>
  </si>
  <si>
    <t xml:space="preserve">Rezerva </t>
  </si>
  <si>
    <r>
      <t>Příspěvek na provoz - odpisy</t>
    </r>
    <r>
      <rPr>
        <sz val="10"/>
        <rFont val="Arial"/>
        <family val="2"/>
        <charset val="238"/>
      </rPr>
      <t/>
    </r>
  </si>
  <si>
    <t>Příspěvek na provoz - nájemné</t>
  </si>
  <si>
    <t xml:space="preserve"> - Střední odborná škola a Střední odborné učiliště zemědělské, Horní Heřmanice 47 -  250 tis. Kč na mzdy pro 1 zaměstnance - obsluha čističky vody</t>
  </si>
  <si>
    <t xml:space="preserve"> - Odborné učiliště a Praktická škola, Lipová - lázně 458  -  50 tis. Kč na odměny za produktivní činnost žáků ve školní jídelně</t>
  </si>
  <si>
    <t xml:space="preserve"> - Střední odborná škola gastronomie a potravinářství, Jeseník, U Jatek 8 - 230 tis. Kč na odměny za produktivní činnost žáků ve školní jídelně</t>
  </si>
  <si>
    <t xml:space="preserve"> - Střední škola technická, Přerov - 100 tis. Kč - odměny za produktivní činnost žáků (zednické, malířské, instalatérské, topenářské, klempířské a pokrývačské práce) </t>
  </si>
  <si>
    <t>Příspěvek na provoz  - mzdové náklady</t>
  </si>
  <si>
    <r>
      <t xml:space="preserve">Příspěvek na provoz  </t>
    </r>
    <r>
      <rPr>
        <sz val="10"/>
        <rFont val="Arial"/>
        <family val="2"/>
        <charset val="238"/>
      </rPr>
      <t/>
    </r>
  </si>
  <si>
    <t xml:space="preserve"> - nájemné  /UZ 00 023/</t>
  </si>
  <si>
    <t xml:space="preserve"> - příspěvek na provoz - odpisy  /UZ 00 006/:                </t>
  </si>
  <si>
    <t xml:space="preserve"> - příspěvek na provoz /UZ 00 020/:                             </t>
  </si>
  <si>
    <t>Komentář:</t>
  </si>
  <si>
    <t>Správce: Mgr. Miroslav Gajdůšek, MBA</t>
  </si>
  <si>
    <t>ORJ - 10</t>
  </si>
  <si>
    <t>OKRES Olomouc</t>
  </si>
  <si>
    <t>Olomouc</t>
  </si>
  <si>
    <t>0030001001450</t>
  </si>
  <si>
    <t>0030001001420</t>
  </si>
  <si>
    <t>0030001001400</t>
  </si>
  <si>
    <t>Dům dětí a mládeže Vila Tereza, Uničov</t>
  </si>
  <si>
    <t>0030001001352</t>
  </si>
  <si>
    <t>Dům dětí a mládeže Litovel</t>
  </si>
  <si>
    <t>0030001001351</t>
  </si>
  <si>
    <t>Dům dětí a mládeže Olomouc</t>
  </si>
  <si>
    <t>0030001001350</t>
  </si>
  <si>
    <t>Základní umělecká škola, Uničov, Litovelská 190</t>
  </si>
  <si>
    <t>0030001001304</t>
  </si>
  <si>
    <t>Základní umělecká škola Litovel, Jungmannova 740</t>
  </si>
  <si>
    <t>0030001001303</t>
  </si>
  <si>
    <t>0030001001302</t>
  </si>
  <si>
    <t>ZUŠ "Žerotín" Olomouc, Kavaleristů 6</t>
  </si>
  <si>
    <t>0030001001301</t>
  </si>
  <si>
    <t>0030001001300</t>
  </si>
  <si>
    <t>SOŠ lesnická a strojírenská, Šternberk, Opavská 4</t>
  </si>
  <si>
    <t>0030001001208</t>
  </si>
  <si>
    <t>SŠ technická a obchodní, Olomouc, Kosinova 4</t>
  </si>
  <si>
    <t>0030001001207</t>
  </si>
  <si>
    <t>0030001001206</t>
  </si>
  <si>
    <t>0030001001205</t>
  </si>
  <si>
    <t>0030001001204</t>
  </si>
  <si>
    <t>0030001001202</t>
  </si>
  <si>
    <t>Sigmundova střední škola strojírenská, Lutín</t>
  </si>
  <si>
    <t>0030001001201</t>
  </si>
  <si>
    <t>Střední odborná škola Litovel, Komenského 677</t>
  </si>
  <si>
    <t>0030001001200</t>
  </si>
  <si>
    <t>0030001001160</t>
  </si>
  <si>
    <t>Obchodní akademie, Olomouc, tř. Spojenců 11</t>
  </si>
  <si>
    <t>0030001001150</t>
  </si>
  <si>
    <t>0030001001124</t>
  </si>
  <si>
    <t>SŠ zemědělská Olomouc, U Hradiska 4</t>
  </si>
  <si>
    <t>0030001001123</t>
  </si>
  <si>
    <t>0030001001122</t>
  </si>
  <si>
    <t>SPŠ strojnická, Olomouc, tř. 17. listopadu 49</t>
  </si>
  <si>
    <t>0030001001121</t>
  </si>
  <si>
    <t>VOŠ a SPŠ elektrotechnická, Olomouc, Božetěchova 3</t>
  </si>
  <si>
    <t>0030001001120</t>
  </si>
  <si>
    <t>Gymnázium, Uničov, Gymnazijní 257</t>
  </si>
  <si>
    <t>0030001001105</t>
  </si>
  <si>
    <t>Gymnázium, Šternberk, Horní náměstí 5</t>
  </si>
  <si>
    <t>0030001001104</t>
  </si>
  <si>
    <t>Gymnázium, Olomouc - Hejčín, Tomkova 45</t>
  </si>
  <si>
    <t>0030001001103</t>
  </si>
  <si>
    <t>Slovanské gymnázium Olomouc, tř. J. z Poděbrad 13</t>
  </si>
  <si>
    <t>0030001001102</t>
  </si>
  <si>
    <t>Gymnázium, Olomouc, Čajkovského 9</t>
  </si>
  <si>
    <t>0030001001101</t>
  </si>
  <si>
    <t>Gymnázium Jana Opletala, Litovel, Opletalova 189</t>
  </si>
  <si>
    <t>0030001001100</t>
  </si>
  <si>
    <t>0030001001034</t>
  </si>
  <si>
    <t>ZŠ, DD a Školní jídelna Litovel</t>
  </si>
  <si>
    <t>0030001001033</t>
  </si>
  <si>
    <t>Základní škola Šternberk, Olomoucká 76</t>
  </si>
  <si>
    <t>0030001001032</t>
  </si>
  <si>
    <t>0030001001015</t>
  </si>
  <si>
    <t>ZŠ prof. Z. Matějčka Olomouc, Svatoplukova 11</t>
  </si>
  <si>
    <t>0030001001014</t>
  </si>
  <si>
    <t>0030001001013</t>
  </si>
  <si>
    <t>ZŠ a MŠ logopedická Olomouc</t>
  </si>
  <si>
    <t>0030001001012</t>
  </si>
  <si>
    <t>ZŠ a MŠ při FN Olomouc</t>
  </si>
  <si>
    <t>0030001001010</t>
  </si>
  <si>
    <t>Mateřská škola Olomouc, Blanická 16</t>
  </si>
  <si>
    <t>0030001001001</t>
  </si>
  <si>
    <t>0030001000000</t>
  </si>
  <si>
    <t>Okres: Olomouc</t>
  </si>
  <si>
    <t>Mgr. Miroslav Gajdůšek, MBA</t>
  </si>
  <si>
    <t>ORJ - 10 - Olomouc</t>
  </si>
  <si>
    <t>OKRES Prostějov</t>
  </si>
  <si>
    <t>Prostějov</t>
  </si>
  <si>
    <t>0030001001465</t>
  </si>
  <si>
    <t>DD a ŠJ, Plumlov, Balkán 333</t>
  </si>
  <si>
    <t>0030001001402</t>
  </si>
  <si>
    <t>DD a ŠJ, Konice, Vrchlického 369</t>
  </si>
  <si>
    <t>0030001001401</t>
  </si>
  <si>
    <t>ZUŠ Konice, Na Příhonech 425</t>
  </si>
  <si>
    <t>0030001001305</t>
  </si>
  <si>
    <t>SOU obchodní Prostějov, nám. E. Husserla 1</t>
  </si>
  <si>
    <t>0030001001212</t>
  </si>
  <si>
    <t>Střední zdravotnická škola, Prostějov, Vápenice 3</t>
  </si>
  <si>
    <t>0030001001161</t>
  </si>
  <si>
    <t>Obchodní akademie, Prostějov, Palackého 18</t>
  </si>
  <si>
    <t>0030001001151</t>
  </si>
  <si>
    <t>0030001001127</t>
  </si>
  <si>
    <t>0030001001126</t>
  </si>
  <si>
    <t>SŠ designu a módy, Prostějov, Vápenice 1</t>
  </si>
  <si>
    <t>0030001001125</t>
  </si>
  <si>
    <t>Gymnázium Jiřího Wolkera, Prostějov, Kollárova 3</t>
  </si>
  <si>
    <t>0030001001106</t>
  </si>
  <si>
    <t>Základní škola a Dětský domov Prostějov</t>
  </si>
  <si>
    <t>0030001001017</t>
  </si>
  <si>
    <t>0030001001016</t>
  </si>
  <si>
    <t>Okres: Prostějov</t>
  </si>
  <si>
    <t>ORJ - 10 - Prostějov</t>
  </si>
  <si>
    <t>OKRES Jeseník</t>
  </si>
  <si>
    <t>Jeseník</t>
  </si>
  <si>
    <t>0030001001408</t>
  </si>
  <si>
    <t>Dětský domov a Školní jídelna, Černá Voda 1</t>
  </si>
  <si>
    <t>0030001001407</t>
  </si>
  <si>
    <t>0030001001315</t>
  </si>
  <si>
    <t>Základní umělecká škola Karla Ditterse Vidnava</t>
  </si>
  <si>
    <t>0030001001314</t>
  </si>
  <si>
    <t>SOŠ a SOU zemědělské, Horní Heřmanice 47</t>
  </si>
  <si>
    <t>0030001001227</t>
  </si>
  <si>
    <t>0030001001226</t>
  </si>
  <si>
    <t>0030001001225</t>
  </si>
  <si>
    <t>0030001001175</t>
  </si>
  <si>
    <t>0030001001142</t>
  </si>
  <si>
    <t>Gymnázium, Jeseník, Komenského 281</t>
  </si>
  <si>
    <t>0030001001113</t>
  </si>
  <si>
    <t>Základní škola Jeseník, Fučíkova 312</t>
  </si>
  <si>
    <t>0030001001043</t>
  </si>
  <si>
    <t>ZŠ a MŠ při Sanatoriu Edel Zlaté Hory</t>
  </si>
  <si>
    <t>0030001001026</t>
  </si>
  <si>
    <t>0030001001025</t>
  </si>
  <si>
    <t>Okres: Jeseník</t>
  </si>
  <si>
    <t>ORJ - 10 - Jeseník</t>
  </si>
  <si>
    <t>OKRES Šumperk</t>
  </si>
  <si>
    <t>Šumperk</t>
  </si>
  <si>
    <t>Dům dětí a mládeže Magnet, Mohelnice</t>
  </si>
  <si>
    <t>0030001001354</t>
  </si>
  <si>
    <t>ZUŠ, Zábřeh, Farní 9</t>
  </si>
  <si>
    <t>0030001001313</t>
  </si>
  <si>
    <t>ZUŠ, Šumperk, Žerotínova 11</t>
  </si>
  <si>
    <t>0030001001312</t>
  </si>
  <si>
    <t>0030001001311</t>
  </si>
  <si>
    <t>0030001001223</t>
  </si>
  <si>
    <t>OU a Praktická škola, Mohelnice, Vodní 27</t>
  </si>
  <si>
    <t>0030001001222</t>
  </si>
  <si>
    <t>SŠ železniční a stavební, Šumperk, Bulharská 8</t>
  </si>
  <si>
    <t>0030001001221</t>
  </si>
  <si>
    <t>0030001001174</t>
  </si>
  <si>
    <t>Střední zdravotnická škola, Šumperk, Kladská 2</t>
  </si>
  <si>
    <t>0030001001163</t>
  </si>
  <si>
    <t>0030001001154</t>
  </si>
  <si>
    <t>Obchodní akademie, Mohelnice, Olomoucká 82</t>
  </si>
  <si>
    <t>0030001001153</t>
  </si>
  <si>
    <t>SOŠ a SOU, Šumperk, Gen. Krátkého 30</t>
  </si>
  <si>
    <t>0030001001140</t>
  </si>
  <si>
    <t>Střední odborná škola, Šumperk, Zemědělská 3</t>
  </si>
  <si>
    <t>0030001001138</t>
  </si>
  <si>
    <t>0030001001137</t>
  </si>
  <si>
    <t>SPŠ elektrotechnická, Mohelnice, Gen. Svobody 2</t>
  </si>
  <si>
    <t>VOŠ a SŠ automobilní, Zábřeh, U Dráhy 6</t>
  </si>
  <si>
    <t>0030001001136</t>
  </si>
  <si>
    <t>0030001001135</t>
  </si>
  <si>
    <t>Gymnázium, Zábřeh, nám. Osvobození 20</t>
  </si>
  <si>
    <t>0030001001112</t>
  </si>
  <si>
    <t>Gymnázium, Šumperk, Masarykovo nám. 8</t>
  </si>
  <si>
    <t>0030001001111</t>
  </si>
  <si>
    <t>Základní škola a Dětský domov Zábřeh</t>
  </si>
  <si>
    <t>0030001001041</t>
  </si>
  <si>
    <t>SŠ, ZŠ a MŠ Šumperk, Hanácká 3</t>
  </si>
  <si>
    <t>0030001001040</t>
  </si>
  <si>
    <t>ZŠ a MŠ Mohelnice, Masarykova 4</t>
  </si>
  <si>
    <t>0030001001024</t>
  </si>
  <si>
    <t>ZŠ a MŠ při lázních, Velké Losiny</t>
  </si>
  <si>
    <t>0030001001022</t>
  </si>
  <si>
    <t>ZŠ a MŠ při lázních, Bludov</t>
  </si>
  <si>
    <t>0030001001021</t>
  </si>
  <si>
    <t>Okres: Šumperk</t>
  </si>
  <si>
    <t>ORJ - 10 - Šumperk</t>
  </si>
  <si>
    <t>OKRES Přerov</t>
  </si>
  <si>
    <t>DD a ŠJ, Přerov, Sušilova 25</t>
  </si>
  <si>
    <t>Přerov</t>
  </si>
  <si>
    <t>0030001001405</t>
  </si>
  <si>
    <t>DD a ŠJ, Lipník nad Bečvou, Tyršova 772</t>
  </si>
  <si>
    <t>0030001001404</t>
  </si>
  <si>
    <t>DD a ŠJ, Hranice, Purgešova 4</t>
  </si>
  <si>
    <t>0030001001403</t>
  </si>
  <si>
    <t>Středisko volného času ATLAS a BIOS, Přerov</t>
  </si>
  <si>
    <t>0030001001353</t>
  </si>
  <si>
    <t>0030001001310</t>
  </si>
  <si>
    <t>ZUŠ B. Kozánka, Přerov</t>
  </si>
  <si>
    <t>0030001001309</t>
  </si>
  <si>
    <t>ZUŠ, Kojetín, Hanusíkova 197</t>
  </si>
  <si>
    <t>0030001001308</t>
  </si>
  <si>
    <t>ZUŠ, Hranice, Školní náměstí 35</t>
  </si>
  <si>
    <t>0030001001307</t>
  </si>
  <si>
    <t>ZUŠ, Potštát 36</t>
  </si>
  <si>
    <t>0030001001306</t>
  </si>
  <si>
    <t>Odborné učiliště, Křenovice 8</t>
  </si>
  <si>
    <t>0030001001218</t>
  </si>
  <si>
    <t>Střední škola řezbářská, Tovačov, Nádražní 146</t>
  </si>
  <si>
    <t>0030001001216</t>
  </si>
  <si>
    <t>0030001001173</t>
  </si>
  <si>
    <t>0030001001171</t>
  </si>
  <si>
    <t>0030001001162</t>
  </si>
  <si>
    <t>0030001001152</t>
  </si>
  <si>
    <t>Střední škola zemědělská, Přerov, Osmek 47</t>
  </si>
  <si>
    <t>0030001001134</t>
  </si>
  <si>
    <t>0030001001133</t>
  </si>
  <si>
    <t>Střední lesnická škola, Hranice, Jurikova 588</t>
  </si>
  <si>
    <t>0030001001132</t>
  </si>
  <si>
    <t>SŠ gastronomie a služeb, Přerov, Šířava 7</t>
  </si>
  <si>
    <t>0030001001131</t>
  </si>
  <si>
    <t>Střední průmyslová škola, Přerov, Havlíčkova 2</t>
  </si>
  <si>
    <t>0030001001130</t>
  </si>
  <si>
    <t>0030001001129</t>
  </si>
  <si>
    <t>Střední průmyslová škola Hranice</t>
  </si>
  <si>
    <t>0030001001128</t>
  </si>
  <si>
    <t>Gymnázium, Kojetín, Svatopluka Čecha 683</t>
  </si>
  <si>
    <t>0030001001110</t>
  </si>
  <si>
    <t>Gymnázium, Hranice, Zborovská 293</t>
  </si>
  <si>
    <t>0030001001109</t>
  </si>
  <si>
    <t>Gymnázium Jakuba Škody, Přerov, Komenského 29</t>
  </si>
  <si>
    <t>0030001001108</t>
  </si>
  <si>
    <t>0030001001038</t>
  </si>
  <si>
    <t>ZŠ a MŠ Přerov, Malá Dlážka 4</t>
  </si>
  <si>
    <t>0030001001037</t>
  </si>
  <si>
    <t>0030001001036</t>
  </si>
  <si>
    <t>Základní škola Kojetín, Sladovní 492</t>
  </si>
  <si>
    <t>0030001001035</t>
  </si>
  <si>
    <t>Okres: Přerov</t>
  </si>
  <si>
    <t>ORJ - 10 - Přerov</t>
  </si>
  <si>
    <t>ORJ - 12</t>
  </si>
  <si>
    <t>Správa silnic Olomouckého kraje, p. o.</t>
  </si>
  <si>
    <t>0030004001600</t>
  </si>
  <si>
    <t>0030004001599</t>
  </si>
  <si>
    <t xml:space="preserve">                 vedoucí odboru</t>
  </si>
  <si>
    <t xml:space="preserve"> - příspěvek na provoz - mzdové náklady /UZ 00 027/        </t>
  </si>
  <si>
    <t>Příspěvek na provoz - odpisy</t>
  </si>
  <si>
    <t>Příspěvek na provoz - mzdové náklady</t>
  </si>
  <si>
    <t>Odvod z investičního fondu</t>
  </si>
  <si>
    <t>ROZDÍL</t>
  </si>
  <si>
    <t>v Kč</t>
  </si>
  <si>
    <t>v %</t>
  </si>
  <si>
    <t>Základní škola Uničov, Šternberská 35</t>
  </si>
  <si>
    <t>ZUŠ, Mohelnice, Náměstí Svobody 15</t>
  </si>
  <si>
    <t xml:space="preserve">b) Příspěvkové organizace zřizované Olomouckým krajem </t>
  </si>
  <si>
    <t>Zdravotnická záchranná služba Olomouckého kraje, p.o.</t>
  </si>
  <si>
    <t>Úspora</t>
  </si>
  <si>
    <t>NÁVRH ROZPOČTU 2013 Rada 8.11.2011</t>
  </si>
  <si>
    <t>NÁVRH ROZPOČTU 2013 Rada 22.11.2011</t>
  </si>
  <si>
    <t>NÁVRH ROZPOČTU 2013 (původní)</t>
  </si>
  <si>
    <t>Výpočet odvodů</t>
  </si>
  <si>
    <t>Rozpočty příspěvků na provoz příspěvkových organizací odboru zdravotnictví na rok 2013 jsou o 7 131 tis. Kč nižší než schválený rozpočet 2012 ( v limitu požadováno snížení příspěvku na provoz ve výši 10 100 tis. kč). U všech příspěvkových organizací bylo zapracováno požadované snížení příspěvku na provoz, vyjímkou je příspěvková organizace Odborný léčebný ústav neurologicko-geriatrický Moravský Beroun,kde rozpočet (příspěvek na provoz) pro rok 2013, je zdůvodu zabezpečení vyrovnaného rozpočtu, ponechán  na úrovni schváleného rozpočtu 2012 (tj. 9 600 tis.Kč).</t>
  </si>
  <si>
    <t>Zvláštní situace je i u  Zdravotnické záchranné služby, kde došlo v průběhu roku 2012 k navýšení platů zaměstnanců na základě Memoranda o úpravě platů, které bylo uzavřeno dne 13.4.2012 mezi Olomouckým krajem  a Místní organizací Odborového svazu zdravotnictví a sociální péče příspěvkové organizace. Z tohoto důvodu je místo plánovaného snížení provozních prostředků o 5% tedy o 7 710 tis. Kč, realizováno snížení provozního příspěvku  pouze o 4 300 tis. Kč.</t>
  </si>
  <si>
    <t>Oblast zdravotnictví</t>
  </si>
  <si>
    <t>SR 2012</t>
  </si>
  <si>
    <t>%</t>
  </si>
  <si>
    <t>Snížení</t>
  </si>
  <si>
    <t>Kč</t>
  </si>
  <si>
    <t>Poz. : přesun 1 mil. Kč z UZ 00 027 na UZ 00 020 (SZPD Olomouc)</t>
  </si>
  <si>
    <t>Limit 2013</t>
  </si>
  <si>
    <t>Rozdíl mezi limitem a návrhem odboru:</t>
  </si>
  <si>
    <t>Odbor měl ještě snížit o</t>
  </si>
  <si>
    <t>Návrh odboru 2013</t>
  </si>
  <si>
    <t>Rekapitulace:</t>
  </si>
  <si>
    <t xml:space="preserve"> -provozní příspěvek UZ 0 020</t>
  </si>
  <si>
    <t xml:space="preserve"> -provozní příspěvek - mzdy UZ 00 027</t>
  </si>
  <si>
    <t xml:space="preserve"> -limit  - provozní příspěvek - mzdy UZ 00 027</t>
  </si>
  <si>
    <t>Rozdíl - (je nutno ještě snížit)</t>
  </si>
  <si>
    <t>a) provozní příspěvek UZ 0 020</t>
  </si>
  <si>
    <t>b) provozní příspěvek - mzdy UZ 00 027</t>
  </si>
  <si>
    <t>c) provozní příspěvek UZ 0 023(i invest.)</t>
  </si>
  <si>
    <t>d) provozní příspěvek UZ 0 006</t>
  </si>
  <si>
    <t>Poz.:</t>
  </si>
  <si>
    <t>Oblast sociální</t>
  </si>
  <si>
    <t>b) provozní příspěvek UZ 0 006</t>
  </si>
  <si>
    <t>Oblast kultury</t>
  </si>
  <si>
    <t>c) provozní příspěvek UZ 0 023</t>
  </si>
  <si>
    <t>e) provozní příspěvek UZ 0 201</t>
  </si>
  <si>
    <t>f) provozní příspěvek UZ 0 013</t>
  </si>
  <si>
    <t>Středisko sociální prevence Olomouc, p.o.</t>
  </si>
  <si>
    <t>Výpočet odpisy</t>
  </si>
  <si>
    <t>Ve skutečnosti sníženo(-)/překročen limit /+/</t>
  </si>
  <si>
    <t>Rozdíl oproti SR 2012</t>
  </si>
  <si>
    <t>Pro rok 2013 je pro příspěvkové organizace ze sociální  oblasti rozpočtována částka v celkové výši 278 957 tis. Kč, z toho částka 139 485 tis. Kč byla rozepsána na jednotlivé příspěvkové organizace a  139 472 tis. Kč bylo převedeno do rezervy odboru sociálních věcí, tato částka bude uvolněna na příspěvkové organizace po schválení dotačního titulu z MPSV.</t>
  </si>
  <si>
    <r>
      <t xml:space="preserve">V částce 278 957 tis. Kč je zahrnuta i částka ve výši </t>
    </r>
    <r>
      <rPr>
        <b/>
        <sz val="10"/>
        <rFont val="Arial"/>
        <family val="2"/>
        <charset val="238"/>
      </rPr>
      <t>20 384 tis. Kč</t>
    </r>
    <r>
      <rPr>
        <sz val="10"/>
        <rFont val="Arial"/>
        <family val="2"/>
        <charset val="238"/>
      </rPr>
      <t xml:space="preserve">, která je určena na zabezpečení neuznatelných nákladů ze strany MPSV, pro rok 2012 byla rozpočtována částka pro Středisko sociální péče ve výši 2 671 tis. Kč. Jedná se </t>
    </r>
    <r>
      <rPr>
        <b/>
        <sz val="10"/>
        <rFont val="Arial"/>
        <family val="2"/>
        <charset val="238"/>
      </rPr>
      <t>o zajištění provozu nového pavilonu Domova seniorů Pohoda Chválkovice ve výši 139 472 tis. Kč,</t>
    </r>
    <r>
      <rPr>
        <sz val="10"/>
        <rFont val="Arial"/>
        <family val="2"/>
        <charset val="238"/>
      </rPr>
      <t xml:space="preserve"> částka </t>
    </r>
    <r>
      <rPr>
        <b/>
        <sz val="10"/>
        <rFont val="Arial"/>
        <family val="2"/>
        <charset val="238"/>
      </rPr>
      <t>300 tis. Kč je určena na zajištění zvýšených nákladů v souvislosti s realizací přístavby nového pavilonu</t>
    </r>
    <r>
      <rPr>
        <sz val="10"/>
        <rFont val="Arial"/>
        <family val="2"/>
        <charset val="238"/>
      </rPr>
      <t xml:space="preserve"> (nezahrnuje výdaje na provoz, které jsou předpokládány až v r. 2014) pro </t>
    </r>
    <r>
      <rPr>
        <b/>
        <sz val="10"/>
        <rFont val="Arial"/>
        <family val="2"/>
        <charset val="238"/>
      </rPr>
      <t>Domov seniory Radkova Lhota</t>
    </r>
    <r>
      <rPr>
        <sz val="10"/>
        <rFont val="Arial"/>
        <family val="2"/>
        <charset val="238"/>
      </rPr>
      <t xml:space="preserve"> a</t>
    </r>
    <r>
      <rPr>
        <b/>
        <sz val="10"/>
        <rFont val="Arial"/>
        <family val="2"/>
        <charset val="238"/>
      </rPr>
      <t xml:space="preserve"> 3 260 tis. Kč je určeno pro Středisko sociální prevence</t>
    </r>
    <r>
      <rPr>
        <sz val="10"/>
        <rFont val="Arial"/>
        <family val="2"/>
        <charset val="238"/>
      </rPr>
      <t xml:space="preserve"> na činnost sociálně právní ochrany dětí (novela zákona platná od 1.1.2013).</t>
    </r>
  </si>
  <si>
    <t xml:space="preserve">Organizace  Vědecká knihovna v Olomouci,  Vlastivědné muzeum v Olomouci a u Muzeum Komenského v Přerově předložily zvýšené rozpočty se svými požadavky. Ostatní organizace dodržely stanovený rozpis rozpočtu pro rok 2013 dle stanovených pokynů z OKPP v souladu s usnesením ROK ze dne 28.8.2012. Dle vyjádření odboru kultury budou také ostatní organizace požadovat navýšení rozpočtu, ale podklady zatím nebyly jimi předloženy. </t>
  </si>
  <si>
    <t>Odpisy</t>
  </si>
  <si>
    <t xml:space="preserve">Příspěvky z nájemného jsou zahrnuty ve výši uzavřených smluv. </t>
  </si>
  <si>
    <t>002212</t>
  </si>
  <si>
    <t>Koordinátor IDS Olomouckého kraje</t>
  </si>
  <si>
    <t>002299</t>
  </si>
  <si>
    <t>Ing. Ladislav Růžička</t>
  </si>
  <si>
    <t xml:space="preserve"> - Střední odborná škola obchodu a služeb, Olomouc, Štursova 14  - 30 tis. Kč na odměny za produktivní činnost žáků ve školní jídelně</t>
  </si>
  <si>
    <t>PPP Olomouckého kraje, Olomouc, U Sportovní haly 1</t>
  </si>
  <si>
    <t>003146</t>
  </si>
  <si>
    <t>Školní jídelna Olomouc - Hejčín, příspěvková org.</t>
  </si>
  <si>
    <t>003142</t>
  </si>
  <si>
    <t>DD a Škol. jídelna, Olomouc, U Sportovní haly 1a</t>
  </si>
  <si>
    <t>004322</t>
  </si>
  <si>
    <t>003421</t>
  </si>
  <si>
    <t>003231</t>
  </si>
  <si>
    <t>ZUŠ M. Stibora - výtvarný obor, OL, Pionýrská 4</t>
  </si>
  <si>
    <t>ZUŠ Iši Krejčího, Olomouc, Na Vozovce 32</t>
  </si>
  <si>
    <t>003147</t>
  </si>
  <si>
    <t>003123</t>
  </si>
  <si>
    <t>SOU obchodu a služeb, Olomouc, Štursova 14</t>
  </si>
  <si>
    <t>SŠ polygrafická, Olomouc, Střední Novosadská 55</t>
  </si>
  <si>
    <t>SŠ polytechnická, Olomouc, Rooseveltova 79</t>
  </si>
  <si>
    <t>SŠ logistiky a chemie, Olomouc, U Hradiska 29</t>
  </si>
  <si>
    <t>003122</t>
  </si>
  <si>
    <t>003150</t>
  </si>
  <si>
    <t>003239</t>
  </si>
  <si>
    <t>003124</t>
  </si>
  <si>
    <t>003121</t>
  </si>
  <si>
    <t>003114</t>
  </si>
  <si>
    <t>003141</t>
  </si>
  <si>
    <t>SŠ, Olomouc-Svatý Kopeček, B. Dvorského 17</t>
  </si>
  <si>
    <t>003145</t>
  </si>
  <si>
    <t>003143</t>
  </si>
  <si>
    <t>003112</t>
  </si>
  <si>
    <t>Příspěvky PO - školství</t>
  </si>
  <si>
    <t>003299</t>
  </si>
  <si>
    <t>SCHOLA SERVIS - zařízení pro DVPP, Prostějov, p.o.</t>
  </si>
  <si>
    <t>003149</t>
  </si>
  <si>
    <t>SOŠ prům. a SOU strojírenské, Prostějov, Lidická 4</t>
  </si>
  <si>
    <t>SŠ, ZŠ, MŠ Prostějov, Komenského 10</t>
  </si>
  <si>
    <t>DD a Školní jídelna Jeseník, Priessnitzova 405</t>
  </si>
  <si>
    <t>Základní umělecká škola Franze Schuberta Zlaté Hor</t>
  </si>
  <si>
    <t>SOŠ gastronomie a potravinářství Jeseník U Jatek 8</t>
  </si>
  <si>
    <t>Odborné učiliště a Prak. škola, Lipová - lázně 458</t>
  </si>
  <si>
    <t>Hotelová šk. V. Priessnitze, Jeseník, Dukelská 680</t>
  </si>
  <si>
    <t>SOŠ a SOU stroj. a staveb., Jeseník, Dukelská 1240</t>
  </si>
  <si>
    <t>ZŠ a MŠ při Priessnitz. léčebných lázních, Jeseník</t>
  </si>
  <si>
    <t>SŠ sociál. péče a služeb, Zábřeh, nám. 8. května 2</t>
  </si>
  <si>
    <t>OA a Jazyk. škola s právem st. jaz. zk., Šumperk</t>
  </si>
  <si>
    <t>SOŠ a SPŠ, Šumperk, Gen. Krátkého 1</t>
  </si>
  <si>
    <t>ZUŠ A. Dvořáka, Lipník nad Bečvou, Havlíčkova 643</t>
  </si>
  <si>
    <t>Střední škola technická, Přerov, Kouřilkova 8</t>
  </si>
  <si>
    <t>SŠ elektrotechnická, Lipník nad Bečvou,Tyršova 781</t>
  </si>
  <si>
    <t>Střední zdravotnická škola Hranice,Studentská 1095</t>
  </si>
  <si>
    <t>OA a JŠ s právem st. jaz. zk.,Přerov, Bartošova 24</t>
  </si>
  <si>
    <t>Gymnázium Jana Blahoslava a SŠ pedag., Přerov</t>
  </si>
  <si>
    <t>003125</t>
  </si>
  <si>
    <t>SPŠ stavební, Lipník n/B., Komenského sady 257</t>
  </si>
  <si>
    <t>SŠ a ZŠ Lipník nad Bečvou, Osecká 301</t>
  </si>
  <si>
    <t>ZŠ a MŠ, Hranice, Nová 1820</t>
  </si>
  <si>
    <t>SCHVÁLENÝ ROZPOČET 2013</t>
  </si>
  <si>
    <t>UPRAVENÝ ROZPOČET 2013 (k 31.8.2013)</t>
  </si>
  <si>
    <t xml:space="preserve">Rezerva ve výši  285 tis.Kč (UZ 201) je určena na příspěvky na realizaci záchranných archeologických výzkumů (jedná se o rezervu pro PO, která je rozpouštěna organizacím na základě jejich požadavků v průběhu roku).   </t>
  </si>
  <si>
    <t xml:space="preserve">Příspěvky na odpisy v roce 2014 (UZ 006) jsou plánovány ve výši  14 537 tis. Kč. Oproti schválenému rozpočtu 2013 je zde navýšení o 1 496 tis. Kč. </t>
  </si>
  <si>
    <r>
      <t>Odvod z odpisů do rozpočtu zřizovatele (závazky vůči zřizovateli) byly stanoveny ve výši 75 % z výše rozpočtovaných odpisů, tj. v částce</t>
    </r>
    <r>
      <rPr>
        <b/>
        <sz val="11"/>
        <color indexed="10"/>
        <rFont val="Arial"/>
        <family val="2"/>
        <charset val="238"/>
      </rPr>
      <t xml:space="preserve"> </t>
    </r>
    <r>
      <rPr>
        <b/>
        <sz val="11"/>
        <rFont val="Arial"/>
        <family val="2"/>
        <charset val="238"/>
      </rPr>
      <t>10 904 tis.Kč</t>
    </r>
    <r>
      <rPr>
        <sz val="11"/>
        <rFont val="Arial"/>
        <family val="2"/>
        <charset val="238"/>
      </rPr>
      <t>.</t>
    </r>
  </si>
  <si>
    <t>Správce: Mgr. Irena Sonntagová</t>
  </si>
  <si>
    <t>Mgr. Irena Sonntagová</t>
  </si>
  <si>
    <t>Dětské centrum Ostrůvek, Olomouci, p.o.</t>
  </si>
  <si>
    <t>Pozn. : v upravené rozpočtu k 31.8.2013 není zahrnut přebytek hospodaření (UZ 00 024) a to ve výši 22 700 tis. Kč, které byly použity na provoz příspěvkových organizací z oblasti zdravotnictví.</t>
  </si>
  <si>
    <t>Rezerva v celkové výši 940 tis. Kč bude použita na nepředvídatelné náklady příspěvkových organizací  a nepředvídatelné výdaje odboru zdravotnictví.</t>
  </si>
  <si>
    <t>NÁVRH ROZPOČTU 2014</t>
  </si>
  <si>
    <t>Platné limity pro návrh rozpočtu 2014             /Rada OK 22.8.2013/</t>
  </si>
  <si>
    <t>3. Výdaje Olomouckého kraje na rok 2014</t>
  </si>
  <si>
    <t>UPRAVENÝ ROZPOČET k 31. 8. 2013</t>
  </si>
  <si>
    <t>Příspěvek na provoz - odpisy (odvody)</t>
  </si>
  <si>
    <t xml:space="preserve">UPRAVENÝ ROZPOČET k 31. 8. 2013 </t>
  </si>
  <si>
    <t>Správce: Ing. Ladislav Růžička</t>
  </si>
  <si>
    <t xml:space="preserve"> - Střední zdravotnická škola a Vyšší odborná škola zdravotnická Emanuela Pöttinga, Olomouc, Pöttingova 2 - 18 tis. Kč na odměny za produktivní činnost žáků ve školní jídelně</t>
  </si>
  <si>
    <t xml:space="preserve"> - Střední škola, Olomouc - Svatý Kopeček, B. Dvorského 17  - 60 tis. Kč na odměny za produktivní činnost žáků ve školní jídelně</t>
  </si>
  <si>
    <t xml:space="preserve">        101 tis. Kč</t>
  </si>
  <si>
    <t>738 tis. Kč</t>
  </si>
  <si>
    <t xml:space="preserve">Z toho: </t>
  </si>
  <si>
    <t>Jazyková škola s právem státní jazykové zkoušky Olomouc</t>
  </si>
  <si>
    <t>SPŠ a SOU Uničov, Školní 164</t>
  </si>
  <si>
    <t>ZŠ a MŠ prof. V. Vejdovského Tomkova 42,Olomouc</t>
  </si>
  <si>
    <t>Střední škola technická a zemědělská Mohelnice, 1. máje 2</t>
  </si>
  <si>
    <t>Švehlova střední škola polytechnická Prostějov, nám. Spojenců 17</t>
  </si>
  <si>
    <t>Vratka odpisů</t>
  </si>
  <si>
    <t>kultura Brána</t>
  </si>
  <si>
    <t>Rozdíl (návrh rozpočtu 2014 - limit)</t>
  </si>
  <si>
    <t>88 713 tis. Kč</t>
  </si>
  <si>
    <t xml:space="preserve">Na rok 2014 je příspěvek na provoz - odpisy plánován ve výši 88 713 tis. Kč, rezerva činí 0  Kč. </t>
  </si>
  <si>
    <t>Rozdíly</t>
  </si>
  <si>
    <r>
      <t xml:space="preserve">Příspěvek na provoz - odpisy  je  o 691 tis. Kč nižší než v roce 2013. Odvod z investičního fondu /odpisů/ do rozpočtu zřizovatele (závazky vůči zřizovateli) je pro příspěvkové organizace z oblasti zdravotnictví stanoven ve výši  </t>
    </r>
    <r>
      <rPr>
        <b/>
        <sz val="11"/>
        <rFont val="Arial"/>
        <family val="2"/>
        <charset val="238"/>
      </rPr>
      <t xml:space="preserve">14 226 tis. Kč </t>
    </r>
    <r>
      <rPr>
        <sz val="11"/>
        <rFont val="Arial"/>
        <family val="2"/>
        <charset val="238"/>
      </rPr>
      <t>(tj. 75% poskytnutého příspěvku na provoz - odpisy).</t>
    </r>
  </si>
  <si>
    <r>
      <t>2./  35 000 tis. Kč na pokrytí odpisů provozního majetku. Z poskytnutého příspěvku na odpisy provozního majetku je počítáno s 75% odvodem ve výši</t>
    </r>
    <r>
      <rPr>
        <b/>
        <sz val="10"/>
        <rFont val="Arial"/>
        <family val="2"/>
        <charset val="238"/>
      </rPr>
      <t xml:space="preserve"> 26 250 tis. Kč.</t>
    </r>
  </si>
  <si>
    <r>
      <t xml:space="preserve">Vychází z návrhů odpisových plánů příspěvkových organizací a pro rok 2014 činí částku 31 574 tis. Kč . Odvod z investičního fondu /odpisů/ do rozpočtu zřizovatele (závazky vůči zřizovateli) je pro příspěvkové organizace z sociální oblasti stanoven ve výši </t>
    </r>
    <r>
      <rPr>
        <b/>
        <sz val="11"/>
        <rFont val="Arial"/>
        <family val="2"/>
        <charset val="238"/>
      </rPr>
      <t>23 687  tis. Kč</t>
    </r>
    <r>
      <rPr>
        <sz val="11"/>
        <rFont val="Arial"/>
        <family val="2"/>
        <charset val="238"/>
      </rPr>
      <t xml:space="preserve"> (tj. 75% poskytnutého příspěvku na provoz - odpisy).</t>
    </r>
  </si>
  <si>
    <t>/UZ 00 020,UZ 00 024/</t>
  </si>
  <si>
    <t>/UZ 00 020, UZ 00 024/</t>
  </si>
  <si>
    <t xml:space="preserve">             - příspěvek na provoz (UZ 00 020,UZ 00 024)</t>
  </si>
  <si>
    <r>
      <t xml:space="preserve">             - příspěvek na provoz </t>
    </r>
    <r>
      <rPr>
        <sz val="7"/>
        <rFont val="Arial"/>
        <family val="2"/>
        <charset val="238"/>
      </rPr>
      <t>(UZ 00 020,UZ 00 024)</t>
    </r>
  </si>
  <si>
    <r>
      <t xml:space="preserve">             - příspěvek na provoz</t>
    </r>
    <r>
      <rPr>
        <sz val="8"/>
        <rFont val="Arial"/>
        <family val="2"/>
        <charset val="238"/>
      </rPr>
      <t xml:space="preserve"> (UZ 00 020,UZ 00 024)</t>
    </r>
  </si>
  <si>
    <t xml:space="preserve">    - příspěvek na provoz /UZ 00 020,UZ 00 024/</t>
  </si>
  <si>
    <t xml:space="preserve">    - příspěvek na provoz /UZ 00 020, UZ 00 024/</t>
  </si>
  <si>
    <r>
      <t xml:space="preserve">    - příspěvek na provoz </t>
    </r>
    <r>
      <rPr>
        <sz val="9"/>
        <rFont val="Arial"/>
        <family val="2"/>
        <charset val="238"/>
      </rPr>
      <t>/UZ 00 020, UZ 00 024/</t>
    </r>
  </si>
  <si>
    <t>Limit schválený ROK ve výši 386 270 tis. Kč.</t>
  </si>
  <si>
    <t>Limit schválený ROK ve výši  245 016 tis. Kč.</t>
  </si>
  <si>
    <t>Limit schválený ROK ve výši  500 695 tis. Kč.</t>
  </si>
  <si>
    <t>Limit schválený ROK ve výši  123 366 tis. Kč.</t>
  </si>
  <si>
    <t>Limit schválený ROK ve výši  226 263 tis. Kč.</t>
  </si>
  <si>
    <t>tis. Kč</t>
  </si>
  <si>
    <r>
      <t xml:space="preserve">             - příspěvek na provoz </t>
    </r>
    <r>
      <rPr>
        <sz val="8"/>
        <rFont val="Arial"/>
        <family val="2"/>
        <charset val="238"/>
      </rPr>
      <t>(UZ 00 020,UZ 00 024))</t>
    </r>
  </si>
  <si>
    <t>KS</t>
  </si>
  <si>
    <t>celkem</t>
  </si>
  <si>
    <t>Příspěvek na provoz - odpisy  pro Správu silnic Olomouckého kraje činí v  celkovém objemu 121 000 tis. Kč v následujícím členění:</t>
  </si>
  <si>
    <t>1./ 86 000 tis. Kč na pokrytí odpisů silničního majetku. Navrhovaná výše vychází z předpokládané skutečnosti roku 2013.</t>
  </si>
  <si>
    <t>Původní návrh rozpočtu</t>
  </si>
  <si>
    <t>Rozdíl</t>
  </si>
  <si>
    <r>
      <t xml:space="preserve">Výše odvodu z investičního fondu /odpisy/ činí z příspěvku rozepsaného na organizace </t>
    </r>
    <r>
      <rPr>
        <b/>
        <sz val="10"/>
        <rFont val="Arial"/>
        <family val="2"/>
        <charset val="238"/>
      </rPr>
      <t>66 546 tis. Kč</t>
    </r>
  </si>
  <si>
    <t>Rozpočet pro příspěvkové organizace v oblasti školství pro rok 2014 je rozpočtován ve výši 389 394 tis. Kč</t>
  </si>
  <si>
    <t>299 376 tis. Kč</t>
  </si>
  <si>
    <t xml:space="preserve">Na rok 2014 je plánován příspěvek na provoz /UZ 00 020/ ve výši 299 842  tis. Kč.  Na školy a školská zařízení je rozepsán příspěvek ve výši 299 376 tis. Kč, rezerva činí 466 tis. Kč. </t>
  </si>
  <si>
    <t>Rozpočet pro příspěvkové organizace v oblasti dopravy na rok 2014 je rozpočtován v celkové výši 491 687 tis. Kč.</t>
  </si>
  <si>
    <t>V návrhu rozpočtu na rok 2014 je kalkulován příspěvek na provoz organizací v oblasti dopravy v celkovém objemu 365 474 tis. Kč.</t>
  </si>
  <si>
    <t xml:space="preserve">Z toho pro Správu silnic Olomouckého kraje je určen příspěvek na provoz ve výši 357 575 tis. Kč.  Pro příspěvkovou organizaci Koordinátor Integrovaného dopravního systému Olomouckého kraje je určen příspěvek na provoz ve výši                     7 899 tis. Kč a příspěvek na provoz - mzdové náklady  ve výši 5 066 tis. Kč. Zvýšení příspěvku na provoz - mzdové náklady je požadováno z důvodu navýšení personálního obsazení o jednoho pracovníka pro zajištění vedení účetnictví organizace ve vlastní režii. </t>
  </si>
  <si>
    <t xml:space="preserve">Příspěvek na provoz je rozpočtován v celkové  výši 203 426 tis. Kč,  z toho 114 306 tis. Kč,  je rozepsáno na jednotlivé příspěvkové organizace a částka 89 120 tis. Kč je ponechána v rezervě pro potřeby příspěvkových organizací.
</t>
  </si>
  <si>
    <t xml:space="preserve">Správce: Ing. Bohuslav Kolář, MBA </t>
  </si>
  <si>
    <t xml:space="preserve">Ing. Bohuslav Kolář, MBA </t>
  </si>
  <si>
    <t xml:space="preserve">                vedoucího odboru</t>
  </si>
  <si>
    <t xml:space="preserve">vedoucího odboru </t>
  </si>
  <si>
    <r>
      <t>Muzeum a galerie v Prostějově, p. o.</t>
    </r>
    <r>
      <rPr>
        <vertAlign val="superscript"/>
        <sz val="10"/>
        <rFont val="Arial"/>
        <family val="2"/>
        <charset val="238"/>
      </rPr>
      <t>)1</t>
    </r>
  </si>
  <si>
    <r>
      <t>Pozn. :</t>
    </r>
    <r>
      <rPr>
        <vertAlign val="superscript"/>
        <sz val="10"/>
        <rFont val="Arial"/>
        <family val="2"/>
        <charset val="238"/>
      </rPr>
      <t xml:space="preserve">)1 </t>
    </r>
    <r>
      <rPr>
        <sz val="7"/>
        <rFont val="Arial"/>
        <family val="2"/>
        <charset val="238"/>
      </rPr>
      <t>Od 1.1.2014 změna názvu příspěvkové organizace a to z Muzeua Prostějovska v Prostějově, příspěvkové organizace  na Muzeum a galerie v Prostějově, příspěvková organizace (Dodatek č. 7 zřizovací listiny).</t>
    </r>
  </si>
  <si>
    <t>SZŠ a VOŠ zdravot. Emanuela Pöttinga a JŠ s právem státní jazykové zkoušky Olomouc</t>
  </si>
  <si>
    <r>
      <t>SZŠ a VOŠ zdravot. Emanuela Pöttinga a JŠ s právem státní jazykové zkoušky Olomouc</t>
    </r>
    <r>
      <rPr>
        <vertAlign val="superscript"/>
        <sz val="10"/>
        <rFont val="Arial"/>
        <family val="2"/>
        <charset val="238"/>
      </rPr>
      <t xml:space="preserve"> )1</t>
    </r>
  </si>
  <si>
    <r>
      <t>Pozn. :</t>
    </r>
    <r>
      <rPr>
        <vertAlign val="superscript"/>
        <sz val="10"/>
        <rFont val="Arial"/>
        <family val="2"/>
        <charset val="238"/>
      </rPr>
      <t xml:space="preserve"> )1</t>
    </r>
    <r>
      <rPr>
        <sz val="10"/>
        <rFont val="Arial"/>
        <family val="2"/>
        <charset val="238"/>
      </rPr>
      <t xml:space="preserve"> </t>
    </r>
    <r>
      <rPr>
        <sz val="9"/>
        <rFont val="Arial"/>
        <family val="2"/>
        <charset val="238"/>
      </rPr>
      <t>Od 1.1.2014 dochází ke sloučení SZdr.Š a VOŠ zdravotnické E. Pöttinga, Olomouc s Jazykovou školou s právem státní jazykové zkoušky Olomouc. Nový název příspěvkové organizace je Střední zdravotnická škola a Vyšší odborná škola zdravotnická Emanuela Pöttinga a Jazyková škola s právem státní jazykové zkoušky Olomouc</t>
    </r>
  </si>
  <si>
    <t xml:space="preserve">       CELKEM ZA</t>
  </si>
  <si>
    <t xml:space="preserve"> CELKEM ZA</t>
  </si>
  <si>
    <t>CELKEM ZA</t>
  </si>
  <si>
    <t xml:space="preserve">   CELKEM ZA</t>
  </si>
  <si>
    <r>
      <t>Příspěvek na provoz - odpisy pro organizaci Koordinátor Integrovaného dopravního systému Olomouckého kraje  činí v  celkovém objemu 147  tis. Kč. Odvod z investičního fondu je ve výši</t>
    </r>
    <r>
      <rPr>
        <b/>
        <sz val="10"/>
        <rFont val="Arial"/>
        <family val="2"/>
        <charset val="238"/>
      </rPr>
      <t xml:space="preserve"> 110 tis. Kč.</t>
    </r>
    <r>
      <rPr>
        <sz val="10"/>
        <rFont val="Arial"/>
        <family val="2"/>
        <charset val="238"/>
      </rPr>
      <t xml:space="preserve">
</t>
    </r>
  </si>
  <si>
    <t>Rozpočet příspěvku včetně rezervy UZ 00 020 pro příspěvkové organizace v oblasti kultury je plánován ve výši 43 964 tis. Kč, v uvedené částce je zahrnuto i navýšení na zdravot. a sociální pojistné související s navýšením mzdových prostředků v roce 2014.</t>
  </si>
  <si>
    <t xml:space="preserve">Mzdové prostředky na platy zaměstnanců (UZ 027) jsou pro rok 2014 rozpočtovány ve výši 63 584 tis. Kč, oproti úrovni schváleného rozpočtu roku 2013 ( 62 866 tis. Kč) je zde promítnuto  navýšení  u Vlastivědného muzea v Olomouci  v celkové výši 518 tis. Kč, (z toho částka 203 tis. Kč, určená pro pracovníka zajišťujícího agendu spojenou s tradiční lidovou kulturou;  190 000,- na mzdu kulturně organizačního pracovníka a 125 000,- Kč na částečné pokrytí mzdy archeologa) a  navýšení u Vlastivědného muzea Jesenicka  o částku 200 tis. Kč určenou pro pracovníka (průvodce) nově otevřených expozic. </t>
  </si>
  <si>
    <t>V souladu se Zásadami řízení příspěvkových organizací zřizovaných Olomouckým krajem požádaly příspěvkové organizace o  stanovení příspěvku na provoz - mzdové náklady na rok 2014 ve výši 738 tis. Kč. Jedná se o následující školy:</t>
  </si>
  <si>
    <t xml:space="preserve"> - rezerva  /UZ 00 020/</t>
  </si>
  <si>
    <t xml:space="preserve">        466 tis. Kč</t>
  </si>
  <si>
    <t>Rozpočet  pro příspěvkové organizace v oblasti zdravotnictví včetně rezervy je rozpočtován v celkové výši  164 350 tis. Kč, z toho částka 163 410 tis. Kč je rozepsána na jednotlivé příspěvkové organizace.</t>
  </si>
  <si>
    <t>Nárůst /v %/</t>
  </si>
  <si>
    <t>sl.10=sl.7/sl.1</t>
  </si>
  <si>
    <t>sl.11=sl.8/sl.2</t>
  </si>
  <si>
    <t>sl.12=sl.9/sl.3</t>
  </si>
  <si>
    <t>Nárůst /v% /</t>
  </si>
  <si>
    <t>Nárůst /v%/</t>
  </si>
  <si>
    <t>Nárůst /v % /</t>
  </si>
  <si>
    <t>Na rok 2014 se předpokládá příspěvek na provoz - nájemné ve výši 101 tis. Kč pro příspěvkovou organizaci Dům dětí a  mládež, Olomouc, tř. 17. listopadu 47. Ten je následně zašle zpět v plné výši na organizaci.  Částka 101 tis. Kč byla zapracována do rozpočtu příjmů odboru školství.</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</si>
</sst>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0"/>
      <name val="Arial"/>
      <charset val="238"/>
    </font>
    <font>
      <sz val="10"/>
      <name val="Arial"/>
      <family val="2"/>
      <charset val="238"/>
    </font>
    <font>
      <b/>
      <sz val="10"/>
      <name val="Arial"/>
      <family val="2"/>
      <charset val="238"/>
    </font>
    <font>
      <b/>
      <sz val="17"/>
      <name val="Arial"/>
      <family val="2"/>
      <charset val="238"/>
    </font>
    <font>
      <b/>
      <sz val="17"/>
      <color indexed="9"/>
      <name val="Arial"/>
      <family val="2"/>
      <charset val="238"/>
    </font>
    <font>
      <sz val="10"/>
      <name val="Arial"/>
      <family val="2"/>
      <charset val="238"/>
    </font>
    <font>
      <sz val="12"/>
      <name val="Arial"/>
      <family val="2"/>
      <charset val="238"/>
    </font>
    <font>
      <b/>
      <sz val="12"/>
      <name val="Arial"/>
      <family val="2"/>
      <charset val="238"/>
    </font>
    <font>
      <b/>
      <sz val="14"/>
      <name val="Arial"/>
      <family val="2"/>
      <charset val="238"/>
    </font>
    <font>
      <sz val="9"/>
      <name val="Arial"/>
      <family val="2"/>
      <charset val="238"/>
    </font>
    <font>
      <sz val="8"/>
      <name val="Arial"/>
      <family val="2"/>
      <charset val="238"/>
    </font>
    <font>
      <sz val="11"/>
      <name val="Arial"/>
      <family val="2"/>
      <charset val="238"/>
    </font>
    <font>
      <b/>
      <sz val="11"/>
      <name val="Arial"/>
      <family val="2"/>
      <charset val="238"/>
    </font>
    <font>
      <b/>
      <sz val="9"/>
      <name val="Arial"/>
      <family val="2"/>
      <charset val="238"/>
    </font>
    <font>
      <b/>
      <sz val="16"/>
      <name val="Arial"/>
      <family val="2"/>
      <charset val="238"/>
    </font>
    <font>
      <sz val="6"/>
      <name val="Arial"/>
      <family val="2"/>
      <charset val="238"/>
    </font>
    <font>
      <b/>
      <sz val="6"/>
      <name val="Arial"/>
      <family val="2"/>
      <charset val="238"/>
    </font>
    <font>
      <b/>
      <sz val="11"/>
      <name val="Arial CE"/>
      <charset val="238"/>
    </font>
    <font>
      <i/>
      <sz val="8"/>
      <name val="Arial"/>
      <family val="2"/>
      <charset val="238"/>
    </font>
    <font>
      <b/>
      <sz val="11"/>
      <color indexed="10"/>
      <name val="Arial"/>
      <family val="2"/>
      <charset val="238"/>
    </font>
    <font>
      <sz val="11"/>
      <name val="Arial CE"/>
      <charset val="238"/>
    </font>
    <font>
      <b/>
      <i/>
      <sz val="11"/>
      <color indexed="19"/>
      <name val="Arial CE"/>
      <charset val="238"/>
    </font>
    <font>
      <b/>
      <i/>
      <sz val="11"/>
      <color indexed="19"/>
      <name val="Arial CE"/>
      <family val="2"/>
      <charset val="238"/>
    </font>
    <font>
      <i/>
      <sz val="10"/>
      <color indexed="19"/>
      <name val="Arial"/>
      <family val="2"/>
      <charset val="238"/>
    </font>
    <font>
      <vertAlign val="superscript"/>
      <sz val="10"/>
      <name val="Arial"/>
      <family val="2"/>
      <charset val="238"/>
    </font>
    <font>
      <b/>
      <sz val="18"/>
      <name val="Arial"/>
      <family val="2"/>
      <charset val="238"/>
    </font>
    <font>
      <sz val="10"/>
      <color rgb="FF008080"/>
      <name val="Arial"/>
      <family val="2"/>
      <charset val="238"/>
    </font>
    <font>
      <b/>
      <sz val="11"/>
      <color rgb="FF008080"/>
      <name val="Arial"/>
      <family val="2"/>
      <charset val="238"/>
    </font>
    <font>
      <sz val="11"/>
      <color rgb="FF008080"/>
      <name val="Arial"/>
      <family val="2"/>
      <charset val="238"/>
    </font>
    <font>
      <b/>
      <sz val="10"/>
      <color rgb="FF008080"/>
      <name val="Arial"/>
      <family val="2"/>
      <charset val="238"/>
    </font>
    <font>
      <sz val="10"/>
      <color theme="0"/>
      <name val="Arial"/>
      <family val="2"/>
      <charset val="238"/>
    </font>
    <font>
      <b/>
      <sz val="10"/>
      <color theme="0"/>
      <name val="Arial"/>
      <family val="2"/>
      <charset val="238"/>
    </font>
    <font>
      <sz val="11"/>
      <color theme="1"/>
      <name val="Arial"/>
      <family val="2"/>
      <charset val="238"/>
    </font>
    <font>
      <sz val="7"/>
      <name val="Arial"/>
      <family val="2"/>
      <charset val="238"/>
    </font>
    <font>
      <b/>
      <sz val="11"/>
      <color theme="0"/>
      <name val="Arial"/>
      <family val="2"/>
      <charset val="238"/>
    </font>
    <font>
      <sz val="12"/>
      <name val="Forte"/>
      <family val="4"/>
    </font>
    <font>
      <sz val="5"/>
      <name val="Arial"/>
      <family val="2"/>
      <charset val="238"/>
    </font>
    <font>
      <b/>
      <sz val="10"/>
      <color theme="4"/>
      <name val="Arial"/>
      <family val="2"/>
      <charset val="238"/>
    </font>
    <font>
      <b/>
      <i/>
      <sz val="11"/>
      <name val="Arial"/>
      <family val="2"/>
      <charset val="238"/>
    </font>
    <font>
      <i/>
      <sz val="10"/>
      <name val="Arial"/>
      <family val="2"/>
      <charset val="238"/>
    </font>
    <font>
      <b/>
      <i/>
      <sz val="12"/>
      <name val="Arial"/>
      <family val="2"/>
      <charset val="238"/>
    </font>
    <font>
      <b/>
      <i/>
      <sz val="10"/>
      <name val="Arial"/>
      <family val="2"/>
      <charset val="238"/>
    </font>
    <font>
      <sz val="10"/>
      <color theme="3"/>
      <name val="Arial"/>
      <family val="2"/>
      <charset val="238"/>
    </font>
    <font>
      <b/>
      <sz val="10"/>
      <color theme="3"/>
      <name val="Arial"/>
      <family val="2"/>
      <charset val="238"/>
    </font>
    <font>
      <b/>
      <sz val="8"/>
      <color theme="3"/>
      <name val="Arial"/>
      <family val="2"/>
      <charset val="238"/>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4" tint="0.79998168889431442"/>
        <bgColor indexed="64"/>
      </patternFill>
    </fill>
    <fill>
      <patternFill patternType="solid">
        <fgColor theme="0"/>
        <bgColor indexed="64"/>
      </patternFill>
    </fill>
    <fill>
      <patternFill patternType="solid">
        <fgColor rgb="FFCCFFFF"/>
        <bgColor indexed="64"/>
      </patternFill>
    </fill>
  </fills>
  <borders count="92">
    <border>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64"/>
      </left>
      <right/>
      <top style="thick">
        <color indexed="64"/>
      </top>
      <bottom/>
      <diagonal/>
    </border>
    <border>
      <left style="medium">
        <color indexed="64"/>
      </left>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n">
        <color indexed="64"/>
      </left>
      <right style="thick">
        <color indexed="64"/>
      </right>
      <top/>
      <bottom style="double">
        <color indexed="64"/>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ck">
        <color indexed="64"/>
      </left>
      <right/>
      <top/>
      <bottom style="thick">
        <color indexed="64"/>
      </bottom>
      <diagonal/>
    </border>
    <border>
      <left style="medium">
        <color indexed="64"/>
      </left>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medium">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medium">
        <color indexed="64"/>
      </right>
      <top style="medium">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ck">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style="double">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auto="1"/>
      </top>
      <bottom/>
      <diagonal/>
    </border>
    <border>
      <left/>
      <right/>
      <top/>
      <bottom style="thick">
        <color auto="1"/>
      </bottom>
      <diagonal/>
    </border>
    <border>
      <left/>
      <right style="thick">
        <color auto="1"/>
      </right>
      <top/>
      <bottom style="thick">
        <color auto="1"/>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ck">
        <color indexed="64"/>
      </right>
      <top/>
      <bottom style="double">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top style="thin">
        <color auto="1"/>
      </top>
      <bottom style="double">
        <color auto="1"/>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792">
    <xf numFmtId="0" fontId="0" fillId="0" borderId="0" xfId="0"/>
    <xf numFmtId="3" fontId="0" fillId="0" borderId="0" xfId="0" applyNumberFormat="1" applyAlignment="1"/>
    <xf numFmtId="49" fontId="3" fillId="0" borderId="0" xfId="0" applyNumberFormat="1" applyFont="1" applyAlignment="1">
      <alignment horizontal="left"/>
    </xf>
    <xf numFmtId="0" fontId="3" fillId="0" borderId="0" xfId="0" applyFont="1" applyAlignment="1">
      <alignment horizontal="left"/>
    </xf>
    <xf numFmtId="3" fontId="3" fillId="0" borderId="0" xfId="0" applyNumberFormat="1" applyFont="1" applyAlignment="1">
      <alignment horizontal="left"/>
    </xf>
    <xf numFmtId="3" fontId="3" fillId="0" borderId="0" xfId="0" applyNumberFormat="1" applyFont="1" applyAlignment="1">
      <alignment horizontal="right"/>
    </xf>
    <xf numFmtId="3" fontId="4" fillId="0" borderId="0" xfId="0" applyNumberFormat="1"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3" fontId="7" fillId="0" borderId="0" xfId="0" applyNumberFormat="1" applyFont="1" applyAlignment="1">
      <alignment horizontal="left"/>
    </xf>
    <xf numFmtId="3" fontId="7" fillId="0" borderId="0" xfId="0" applyNumberFormat="1" applyFont="1" applyAlignment="1">
      <alignment horizontal="right"/>
    </xf>
    <xf numFmtId="0" fontId="8" fillId="0" borderId="0" xfId="0" applyFont="1" applyAlignment="1">
      <alignment horizontal="left"/>
    </xf>
    <xf numFmtId="3" fontId="8" fillId="0" borderId="0" xfId="0" applyNumberFormat="1" applyFont="1" applyAlignment="1">
      <alignment horizontal="left"/>
    </xf>
    <xf numFmtId="0" fontId="5" fillId="0" borderId="0" xfId="0" applyFont="1" applyAlignment="1">
      <alignment horizontal="right"/>
    </xf>
    <xf numFmtId="3" fontId="5" fillId="0" borderId="0" xfId="0" applyNumberFormat="1" applyFont="1" applyAlignment="1">
      <alignment horizontal="right"/>
    </xf>
    <xf numFmtId="3" fontId="2" fillId="0" borderId="5"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3" fontId="2" fillId="0" borderId="3" xfId="0" applyNumberFormat="1" applyFont="1" applyBorder="1" applyAlignment="1">
      <alignment horizontal="center" vertical="top" wrapText="1"/>
    </xf>
    <xf numFmtId="3" fontId="9" fillId="0" borderId="7" xfId="0" applyNumberFormat="1" applyFont="1" applyBorder="1" applyAlignment="1">
      <alignment horizontal="center" vertical="top" wrapText="1"/>
    </xf>
    <xf numFmtId="3" fontId="9" fillId="0" borderId="8" xfId="0" applyNumberFormat="1" applyFont="1" applyBorder="1" applyAlignment="1">
      <alignment horizontal="center" vertical="top" wrapText="1"/>
    </xf>
    <xf numFmtId="3" fontId="10" fillId="0" borderId="10" xfId="0" applyNumberFormat="1" applyFont="1" applyBorder="1" applyAlignment="1">
      <alignment horizontal="center"/>
    </xf>
    <xf numFmtId="3" fontId="10" fillId="0" borderId="12" xfId="0" applyNumberFormat="1" applyFont="1" applyBorder="1" applyAlignment="1">
      <alignment horizontal="center"/>
    </xf>
    <xf numFmtId="3" fontId="10" fillId="0" borderId="13" xfId="0" applyNumberFormat="1" applyFont="1" applyBorder="1" applyAlignment="1">
      <alignment horizontal="center"/>
    </xf>
    <xf numFmtId="3" fontId="2" fillId="0" borderId="15" xfId="0" applyNumberFormat="1" applyFont="1" applyBorder="1" applyAlignment="1">
      <alignment horizontal="center"/>
    </xf>
    <xf numFmtId="49" fontId="5" fillId="0" borderId="14" xfId="0" applyNumberFormat="1" applyFont="1" applyBorder="1" applyAlignment="1">
      <alignment horizontal="right" vertical="center"/>
    </xf>
    <xf numFmtId="3" fontId="11" fillId="0" borderId="14" xfId="0" applyNumberFormat="1" applyFont="1" applyBorder="1" applyAlignment="1">
      <alignment horizontal="right" vertical="center"/>
    </xf>
    <xf numFmtId="49" fontId="5" fillId="0" borderId="15" xfId="0" applyNumberFormat="1" applyFont="1" applyBorder="1" applyAlignment="1">
      <alignment horizontal="right" vertical="center"/>
    </xf>
    <xf numFmtId="0" fontId="5" fillId="0" borderId="15" xfId="0" applyFont="1" applyBorder="1" applyAlignment="1">
      <alignment horizontal="left" vertical="center"/>
    </xf>
    <xf numFmtId="3" fontId="11" fillId="0" borderId="15" xfId="0" applyNumberFormat="1" applyFont="1" applyBorder="1" applyAlignment="1">
      <alignment horizontal="right" vertical="center"/>
    </xf>
    <xf numFmtId="3" fontId="11" fillId="0" borderId="16" xfId="0" applyNumberFormat="1" applyFont="1" applyBorder="1" applyAlignment="1">
      <alignment horizontal="right" vertical="center"/>
    </xf>
    <xf numFmtId="0" fontId="12" fillId="0" borderId="17" xfId="0" applyFont="1" applyBorder="1" applyAlignment="1">
      <alignment horizontal="right" vertical="center"/>
    </xf>
    <xf numFmtId="0" fontId="12" fillId="0" borderId="17" xfId="0" applyFont="1" applyBorder="1" applyAlignment="1">
      <alignment horizontal="left" vertical="center" wrapText="1"/>
    </xf>
    <xf numFmtId="3" fontId="12" fillId="0" borderId="15" xfId="0" applyNumberFormat="1" applyFont="1" applyBorder="1" applyAlignment="1">
      <alignment horizontal="right" vertical="center"/>
    </xf>
    <xf numFmtId="49" fontId="1" fillId="0" borderId="15" xfId="0" applyNumberFormat="1" applyFont="1" applyBorder="1" applyAlignment="1">
      <alignment horizontal="left" vertical="center" wrapText="1"/>
    </xf>
    <xf numFmtId="3" fontId="12" fillId="0" borderId="17" xfId="0" applyNumberFormat="1" applyFont="1" applyBorder="1" applyAlignment="1">
      <alignment horizontal="right" vertical="center"/>
    </xf>
    <xf numFmtId="3" fontId="12" fillId="0" borderId="21" xfId="0" applyNumberFormat="1" applyFont="1" applyBorder="1" applyAlignment="1">
      <alignment horizontal="right" vertical="center"/>
    </xf>
    <xf numFmtId="3" fontId="12" fillId="0" borderId="20" xfId="0" applyNumberFormat="1" applyFont="1" applyBorder="1" applyAlignment="1">
      <alignment horizontal="right" vertical="center"/>
    </xf>
    <xf numFmtId="0" fontId="1" fillId="0" borderId="0" xfId="1"/>
    <xf numFmtId="3" fontId="12" fillId="0" borderId="15" xfId="1" applyNumberFormat="1" applyFont="1" applyBorder="1"/>
    <xf numFmtId="3" fontId="11" fillId="0" borderId="14" xfId="1" applyNumberFormat="1" applyFont="1" applyBorder="1"/>
    <xf numFmtId="49" fontId="12" fillId="0" borderId="15" xfId="1" applyNumberFormat="1" applyFont="1" applyBorder="1"/>
    <xf numFmtId="3" fontId="1" fillId="0" borderId="22" xfId="1" applyNumberFormat="1" applyBorder="1"/>
    <xf numFmtId="3" fontId="1" fillId="0" borderId="5" xfId="1" applyNumberFormat="1" applyBorder="1"/>
    <xf numFmtId="3" fontId="1" fillId="0" borderId="3" xfId="1" applyNumberFormat="1" applyBorder="1"/>
    <xf numFmtId="0" fontId="1" fillId="0" borderId="3" xfId="1" applyBorder="1"/>
    <xf numFmtId="3" fontId="26" fillId="0" borderId="22" xfId="1" applyNumberFormat="1" applyFont="1" applyBorder="1"/>
    <xf numFmtId="3" fontId="26" fillId="0" borderId="5" xfId="1" applyNumberFormat="1" applyFont="1" applyBorder="1"/>
    <xf numFmtId="3" fontId="27" fillId="0" borderId="3" xfId="1" applyNumberFormat="1" applyFont="1" applyBorder="1"/>
    <xf numFmtId="3" fontId="28" fillId="0" borderId="5" xfId="1" applyNumberFormat="1" applyFont="1" applyBorder="1"/>
    <xf numFmtId="49" fontId="29" fillId="0" borderId="3" xfId="1" applyNumberFormat="1" applyFont="1" applyBorder="1"/>
    <xf numFmtId="3" fontId="27" fillId="0" borderId="10" xfId="1" applyNumberFormat="1" applyFont="1" applyBorder="1"/>
    <xf numFmtId="49" fontId="29" fillId="0" borderId="10" xfId="1" applyNumberFormat="1" applyFont="1" applyBorder="1"/>
    <xf numFmtId="3" fontId="10" fillId="0" borderId="3" xfId="1" applyNumberFormat="1" applyFont="1" applyBorder="1"/>
    <xf numFmtId="3" fontId="10" fillId="0" borderId="5" xfId="1" applyNumberFormat="1" applyFont="1" applyBorder="1"/>
    <xf numFmtId="49" fontId="1" fillId="0" borderId="3" xfId="1" applyNumberFormat="1" applyBorder="1"/>
    <xf numFmtId="3" fontId="10" fillId="0" borderId="13" xfId="1" applyNumberFormat="1" applyFont="1" applyBorder="1" applyAlignment="1">
      <alignment horizontal="center"/>
    </xf>
    <xf numFmtId="3" fontId="10" fillId="0" borderId="12" xfId="1" applyNumberFormat="1" applyFont="1" applyBorder="1" applyAlignment="1">
      <alignment horizontal="center"/>
    </xf>
    <xf numFmtId="3" fontId="10" fillId="0" borderId="10" xfId="1" applyNumberFormat="1" applyFont="1" applyBorder="1" applyAlignment="1">
      <alignment horizontal="center"/>
    </xf>
    <xf numFmtId="0" fontId="1" fillId="0" borderId="0" xfId="1" applyAlignment="1">
      <alignment horizontal="right"/>
    </xf>
    <xf numFmtId="49" fontId="8" fillId="0" borderId="0" xfId="1" applyNumberFormat="1" applyFont="1" applyAlignment="1">
      <alignment horizontal="right"/>
    </xf>
    <xf numFmtId="0" fontId="8" fillId="0" borderId="0" xfId="1" applyFont="1" applyAlignment="1">
      <alignment horizontal="right"/>
    </xf>
    <xf numFmtId="0" fontId="14" fillId="0" borderId="0" xfId="1" applyFont="1"/>
    <xf numFmtId="49" fontId="14" fillId="0" borderId="0" xfId="1" applyNumberFormat="1" applyFont="1" applyAlignment="1">
      <alignment horizontal="left"/>
    </xf>
    <xf numFmtId="3" fontId="27" fillId="0" borderId="25" xfId="1" applyNumberFormat="1" applyFont="1" applyBorder="1"/>
    <xf numFmtId="3" fontId="27" fillId="0" borderId="26" xfId="1" applyNumberFormat="1" applyFont="1" applyBorder="1"/>
    <xf numFmtId="3" fontId="11" fillId="0" borderId="17" xfId="0" applyNumberFormat="1" applyFont="1" applyBorder="1" applyAlignment="1">
      <alignment horizontal="right" vertical="center"/>
    </xf>
    <xf numFmtId="3" fontId="11" fillId="0" borderId="21" xfId="0" applyNumberFormat="1" applyFont="1" applyBorder="1" applyAlignment="1">
      <alignment horizontal="right" vertical="center"/>
    </xf>
    <xf numFmtId="3" fontId="12" fillId="0" borderId="16" xfId="0" applyNumberFormat="1" applyFont="1" applyBorder="1" applyAlignment="1">
      <alignment horizontal="right" vertical="center"/>
    </xf>
    <xf numFmtId="3" fontId="12" fillId="0" borderId="14" xfId="0" applyNumberFormat="1" applyFont="1" applyBorder="1" applyAlignment="1">
      <alignment horizontal="right" vertical="center"/>
    </xf>
    <xf numFmtId="3" fontId="9" fillId="0" borderId="28" xfId="0" applyNumberFormat="1" applyFont="1" applyBorder="1" applyAlignment="1">
      <alignment horizontal="center" vertical="top" wrapText="1"/>
    </xf>
    <xf numFmtId="3" fontId="10" fillId="0" borderId="26" xfId="0" applyNumberFormat="1" applyFont="1" applyBorder="1" applyAlignment="1">
      <alignment horizontal="center"/>
    </xf>
    <xf numFmtId="3" fontId="2" fillId="0" borderId="0" xfId="0" applyNumberFormat="1" applyFont="1" applyBorder="1" applyAlignment="1">
      <alignment horizontal="center" vertical="center" wrapText="1"/>
    </xf>
    <xf numFmtId="49" fontId="9" fillId="0" borderId="3" xfId="1" applyNumberFormat="1" applyFont="1" applyBorder="1"/>
    <xf numFmtId="3" fontId="9" fillId="0" borderId="3" xfId="1" applyNumberFormat="1" applyFont="1" applyBorder="1"/>
    <xf numFmtId="3" fontId="9" fillId="0" borderId="5" xfId="1" applyNumberFormat="1" applyFont="1" applyBorder="1"/>
    <xf numFmtId="0" fontId="9" fillId="0" borderId="0" xfId="1" applyFont="1"/>
    <xf numFmtId="3" fontId="27" fillId="0" borderId="29" xfId="1" applyNumberFormat="1" applyFont="1" applyBorder="1"/>
    <xf numFmtId="3" fontId="11" fillId="0" borderId="16" xfId="1" applyNumberFormat="1" applyFont="1" applyBorder="1"/>
    <xf numFmtId="49" fontId="12" fillId="0" borderId="2" xfId="1" applyNumberFormat="1" applyFont="1" applyBorder="1"/>
    <xf numFmtId="3" fontId="12" fillId="0" borderId="2" xfId="1" applyNumberFormat="1" applyFont="1" applyBorder="1"/>
    <xf numFmtId="3" fontId="12" fillId="0" borderId="30" xfId="1" applyNumberFormat="1" applyFont="1" applyBorder="1"/>
    <xf numFmtId="3" fontId="12" fillId="0" borderId="31" xfId="1" applyNumberFormat="1" applyFont="1" applyBorder="1"/>
    <xf numFmtId="0" fontId="2" fillId="0" borderId="0" xfId="1" applyFont="1"/>
    <xf numFmtId="49" fontId="12" fillId="0" borderId="3" xfId="1" applyNumberFormat="1" applyFont="1" applyBorder="1"/>
    <xf numFmtId="3" fontId="12" fillId="0" borderId="3" xfId="1" applyNumberFormat="1" applyFont="1" applyBorder="1"/>
    <xf numFmtId="3" fontId="12" fillId="0" borderId="5" xfId="1" applyNumberFormat="1" applyFont="1" applyBorder="1"/>
    <xf numFmtId="3" fontId="12" fillId="0" borderId="22" xfId="1" applyNumberFormat="1" applyFont="1" applyBorder="1"/>
    <xf numFmtId="3" fontId="1" fillId="0" borderId="0" xfId="1" applyNumberFormat="1" applyAlignment="1"/>
    <xf numFmtId="3" fontId="12" fillId="0" borderId="16" xfId="1" applyNumberFormat="1" applyFont="1" applyBorder="1" applyAlignment="1">
      <alignment horizontal="right" vertical="center"/>
    </xf>
    <xf numFmtId="3" fontId="12" fillId="0" borderId="15" xfId="1" applyNumberFormat="1" applyFont="1" applyBorder="1" applyAlignment="1">
      <alignment horizontal="right" vertical="center"/>
    </xf>
    <xf numFmtId="0" fontId="12" fillId="0" borderId="17" xfId="1" applyFont="1" applyBorder="1" applyAlignment="1">
      <alignment horizontal="left" vertical="center" wrapText="1"/>
    </xf>
    <xf numFmtId="0" fontId="12" fillId="0" borderId="17" xfId="1" applyFont="1" applyBorder="1" applyAlignment="1">
      <alignment horizontal="right" vertical="center"/>
    </xf>
    <xf numFmtId="3" fontId="11" fillId="0" borderId="16" xfId="1" applyNumberFormat="1" applyFont="1" applyBorder="1" applyAlignment="1">
      <alignment horizontal="right" vertical="center"/>
    </xf>
    <xf numFmtId="3" fontId="11" fillId="0" borderId="14" xfId="1" applyNumberFormat="1" applyFont="1" applyBorder="1" applyAlignment="1">
      <alignment horizontal="right" vertical="center"/>
    </xf>
    <xf numFmtId="3" fontId="11" fillId="0" borderId="15" xfId="1" applyNumberFormat="1" applyFont="1" applyBorder="1" applyAlignment="1">
      <alignment horizontal="right" vertical="center"/>
    </xf>
    <xf numFmtId="49" fontId="1" fillId="0" borderId="15" xfId="1" applyNumberFormat="1" applyFont="1" applyBorder="1" applyAlignment="1">
      <alignment horizontal="left" vertical="center" wrapText="1"/>
    </xf>
    <xf numFmtId="0" fontId="1" fillId="0" borderId="15" xfId="1" applyFont="1" applyBorder="1" applyAlignment="1">
      <alignment horizontal="left" vertical="center"/>
    </xf>
    <xf numFmtId="49" fontId="1" fillId="0" borderId="14" xfId="1" applyNumberFormat="1" applyFont="1" applyBorder="1" applyAlignment="1">
      <alignment horizontal="right" vertical="center"/>
    </xf>
    <xf numFmtId="49" fontId="1" fillId="0" borderId="15" xfId="1" applyNumberFormat="1" applyFont="1" applyBorder="1" applyAlignment="1">
      <alignment horizontal="right" vertical="center"/>
    </xf>
    <xf numFmtId="3" fontId="2" fillId="0" borderId="15" xfId="1" applyNumberFormat="1" applyFont="1" applyBorder="1" applyAlignment="1">
      <alignment horizontal="center"/>
    </xf>
    <xf numFmtId="3" fontId="9" fillId="0" borderId="8" xfId="1" applyNumberFormat="1" applyFont="1" applyBorder="1" applyAlignment="1">
      <alignment horizontal="center" vertical="top" wrapText="1"/>
    </xf>
    <xf numFmtId="3" fontId="9" fillId="0" borderId="7" xfId="1" applyNumberFormat="1" applyFont="1" applyBorder="1" applyAlignment="1">
      <alignment horizontal="center" vertical="top" wrapText="1"/>
    </xf>
    <xf numFmtId="3" fontId="2" fillId="0" borderId="3" xfId="1" applyNumberFormat="1" applyFont="1" applyBorder="1" applyAlignment="1">
      <alignment horizontal="center" vertical="top" wrapText="1"/>
    </xf>
    <xf numFmtId="3" fontId="2" fillId="0" borderId="6" xfId="1" applyNumberFormat="1" applyFont="1" applyBorder="1" applyAlignment="1">
      <alignment horizontal="center" vertical="center" wrapText="1"/>
    </xf>
    <xf numFmtId="3" fontId="2" fillId="0" borderId="0" xfId="1" applyNumberFormat="1" applyFont="1" applyAlignment="1">
      <alignment horizontal="center" vertical="center" wrapText="1"/>
    </xf>
    <xf numFmtId="3" fontId="2" fillId="0" borderId="5"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1" fillId="0" borderId="0" xfId="1" applyNumberFormat="1" applyFont="1" applyAlignment="1">
      <alignment horizontal="right"/>
    </xf>
    <xf numFmtId="0" fontId="1" fillId="0" borderId="0" xfId="1" applyFont="1" applyAlignment="1">
      <alignment horizontal="right"/>
    </xf>
    <xf numFmtId="3" fontId="8" fillId="0" borderId="0" xfId="1" applyNumberFormat="1" applyFont="1" applyAlignment="1">
      <alignment horizontal="left"/>
    </xf>
    <xf numFmtId="0" fontId="8" fillId="0" borderId="0" xfId="1" applyFont="1" applyAlignment="1">
      <alignment horizontal="left"/>
    </xf>
    <xf numFmtId="3" fontId="7" fillId="0" borderId="0" xfId="1" applyNumberFormat="1" applyFont="1" applyAlignment="1">
      <alignment horizontal="right"/>
    </xf>
    <xf numFmtId="3" fontId="7" fillId="0" borderId="0" xfId="1" applyNumberFormat="1" applyFont="1" applyAlignment="1">
      <alignment horizontal="left"/>
    </xf>
    <xf numFmtId="0" fontId="7" fillId="0" borderId="0" xfId="1" applyFont="1" applyAlignment="1">
      <alignment horizontal="left"/>
    </xf>
    <xf numFmtId="0" fontId="6" fillId="0" borderId="0" xfId="1" applyFont="1" applyAlignment="1">
      <alignment horizontal="left"/>
    </xf>
    <xf numFmtId="49" fontId="6" fillId="0" borderId="0" xfId="1" applyNumberFormat="1" applyFont="1" applyAlignment="1">
      <alignment horizontal="left"/>
    </xf>
    <xf numFmtId="3" fontId="3" fillId="0" borderId="0" xfId="1" applyNumberFormat="1" applyFont="1" applyAlignment="1">
      <alignment horizontal="right"/>
    </xf>
    <xf numFmtId="3" fontId="4" fillId="0" borderId="0" xfId="1" applyNumberFormat="1" applyFont="1" applyAlignment="1">
      <alignment horizontal="right"/>
    </xf>
    <xf numFmtId="3" fontId="3" fillId="0" borderId="0" xfId="1" applyNumberFormat="1" applyFont="1" applyAlignment="1">
      <alignment horizontal="left"/>
    </xf>
    <xf numFmtId="0" fontId="3" fillId="0" borderId="0" xfId="1" applyFont="1" applyAlignment="1">
      <alignment horizontal="left"/>
    </xf>
    <xf numFmtId="49" fontId="3" fillId="0" borderId="0" xfId="1" applyNumberFormat="1" applyFont="1" applyAlignment="1">
      <alignment horizontal="left"/>
    </xf>
    <xf numFmtId="3" fontId="28" fillId="0" borderId="12" xfId="1" applyNumberFormat="1" applyFont="1" applyBorder="1"/>
    <xf numFmtId="3" fontId="12" fillId="0" borderId="17" xfId="1" applyNumberFormat="1" applyFont="1" applyBorder="1" applyAlignment="1">
      <alignment horizontal="right" vertical="center"/>
    </xf>
    <xf numFmtId="3" fontId="12" fillId="0" borderId="21" xfId="1" applyNumberFormat="1" applyFont="1" applyBorder="1" applyAlignment="1">
      <alignment horizontal="right" vertical="center"/>
    </xf>
    <xf numFmtId="3" fontId="11" fillId="0" borderId="21" xfId="1" applyNumberFormat="1" applyFont="1" applyBorder="1" applyAlignment="1">
      <alignment horizontal="right" vertical="center"/>
    </xf>
    <xf numFmtId="3" fontId="1" fillId="0" borderId="0" xfId="1" applyNumberFormat="1"/>
    <xf numFmtId="3" fontId="2" fillId="0" borderId="0" xfId="1" applyNumberFormat="1" applyFont="1" applyBorder="1" applyAlignment="1">
      <alignment horizontal="center" vertical="center" wrapText="1"/>
    </xf>
    <xf numFmtId="3" fontId="12" fillId="0" borderId="20" xfId="1" applyNumberFormat="1" applyFont="1" applyBorder="1" applyAlignment="1">
      <alignment horizontal="right" vertical="center"/>
    </xf>
    <xf numFmtId="3" fontId="2" fillId="0" borderId="30" xfId="1" applyNumberFormat="1" applyFont="1" applyBorder="1"/>
    <xf numFmtId="3" fontId="2" fillId="0" borderId="31" xfId="1" applyNumberFormat="1" applyFont="1" applyBorder="1"/>
    <xf numFmtId="0" fontId="11" fillId="0" borderId="0" xfId="1" applyFont="1"/>
    <xf numFmtId="0" fontId="12" fillId="0" borderId="0" xfId="1" applyFont="1"/>
    <xf numFmtId="49" fontId="27" fillId="0" borderId="10" xfId="1" applyNumberFormat="1" applyFont="1" applyBorder="1"/>
    <xf numFmtId="3" fontId="28" fillId="0" borderId="13" xfId="1" applyNumberFormat="1" applyFont="1" applyBorder="1"/>
    <xf numFmtId="49" fontId="7" fillId="0" borderId="15" xfId="1" applyNumberFormat="1" applyFont="1" applyBorder="1"/>
    <xf numFmtId="3" fontId="7" fillId="0" borderId="15" xfId="1" applyNumberFormat="1" applyFont="1" applyBorder="1"/>
    <xf numFmtId="3" fontId="7" fillId="0" borderId="14" xfId="1" applyNumberFormat="1" applyFont="1" applyBorder="1"/>
    <xf numFmtId="3" fontId="7" fillId="0" borderId="16" xfId="1" applyNumberFormat="1" applyFont="1" applyBorder="1"/>
    <xf numFmtId="0" fontId="7" fillId="0" borderId="0" xfId="1" applyFont="1"/>
    <xf numFmtId="3" fontId="11" fillId="0" borderId="3" xfId="1" applyNumberFormat="1" applyFont="1" applyBorder="1"/>
    <xf numFmtId="3" fontId="11" fillId="0" borderId="5" xfId="1" applyNumberFormat="1" applyFont="1" applyBorder="1"/>
    <xf numFmtId="3" fontId="11" fillId="0" borderId="30" xfId="1" applyNumberFormat="1" applyFont="1" applyBorder="1"/>
    <xf numFmtId="49" fontId="10" fillId="0" borderId="3" xfId="1" applyNumberFormat="1" applyFont="1" applyBorder="1"/>
    <xf numFmtId="0" fontId="2" fillId="0" borderId="0" xfId="1" applyFont="1" applyAlignment="1">
      <alignment horizontal="right"/>
    </xf>
    <xf numFmtId="49" fontId="2" fillId="0" borderId="0" xfId="1" applyNumberFormat="1" applyFont="1" applyAlignment="1">
      <alignment horizontal="right"/>
    </xf>
    <xf numFmtId="3" fontId="11" fillId="0" borderId="12" xfId="1" applyNumberFormat="1" applyFont="1" applyBorder="1"/>
    <xf numFmtId="3" fontId="10" fillId="0" borderId="22" xfId="1" applyNumberFormat="1" applyFont="1" applyBorder="1"/>
    <xf numFmtId="3" fontId="1" fillId="0" borderId="24" xfId="1" applyNumberFormat="1" applyBorder="1" applyAlignment="1">
      <alignment horizontal="center" vertical="top" wrapText="1"/>
    </xf>
    <xf numFmtId="3" fontId="9" fillId="0" borderId="24" xfId="1" applyNumberFormat="1" applyFont="1" applyBorder="1" applyAlignment="1">
      <alignment horizontal="center" vertical="top" wrapText="1"/>
    </xf>
    <xf numFmtId="49" fontId="7" fillId="0" borderId="0" xfId="1" applyNumberFormat="1" applyFont="1" applyAlignment="1">
      <alignment horizontal="left"/>
    </xf>
    <xf numFmtId="3" fontId="1" fillId="0" borderId="19" xfId="1" applyNumberFormat="1" applyBorder="1" applyAlignment="1"/>
    <xf numFmtId="3" fontId="2" fillId="0" borderId="22" xfId="1" applyNumberFormat="1" applyFont="1" applyBorder="1" applyAlignment="1">
      <alignment horizontal="center"/>
    </xf>
    <xf numFmtId="0" fontId="7" fillId="0" borderId="0" xfId="0" applyFont="1" applyProtection="1">
      <protection locked="0"/>
    </xf>
    <xf numFmtId="0" fontId="0" fillId="0" borderId="0" xfId="0" applyFill="1" applyProtection="1">
      <protection locked="0"/>
    </xf>
    <xf numFmtId="0" fontId="0" fillId="0" borderId="0" xfId="0" applyProtection="1">
      <protection locked="0"/>
    </xf>
    <xf numFmtId="3" fontId="17" fillId="0" borderId="0" xfId="0" applyNumberFormat="1" applyFont="1" applyFill="1" applyBorder="1" applyProtection="1">
      <protection locked="0"/>
    </xf>
    <xf numFmtId="0" fontId="1" fillId="0" borderId="0" xfId="0" applyFont="1" applyAlignment="1" applyProtection="1">
      <alignment horizontal="justify"/>
      <protection locked="0"/>
    </xf>
    <xf numFmtId="0" fontId="0" fillId="0" borderId="0" xfId="0" applyAlignment="1" applyProtection="1">
      <alignment horizontal="justify"/>
      <protection locked="0"/>
    </xf>
    <xf numFmtId="0" fontId="0" fillId="0" borderId="0" xfId="0" applyAlignment="1" applyProtection="1">
      <alignment horizontal="justify" vertical="justify"/>
      <protection locked="0"/>
    </xf>
    <xf numFmtId="0" fontId="0" fillId="0" borderId="0" xfId="0" applyAlignment="1" applyProtection="1">
      <protection locked="0"/>
    </xf>
    <xf numFmtId="0" fontId="0" fillId="0" borderId="0" xfId="0" applyAlignment="1" applyProtection="1">
      <alignment horizontal="left"/>
      <protection locked="0"/>
    </xf>
    <xf numFmtId="0" fontId="18" fillId="0" borderId="0" xfId="0" applyFont="1" applyAlignment="1" applyProtection="1">
      <alignment horizontal="justify" vertical="justify"/>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locked="0"/>
    </xf>
    <xf numFmtId="3" fontId="11" fillId="0" borderId="0" xfId="0" applyNumberFormat="1" applyFont="1" applyAlignment="1" applyProtection="1">
      <alignment vertical="center"/>
      <protection locked="0"/>
    </xf>
    <xf numFmtId="0" fontId="11" fillId="0" borderId="0" xfId="0" applyFont="1" applyAlignment="1">
      <alignment vertical="center"/>
    </xf>
    <xf numFmtId="0" fontId="0" fillId="0" borderId="0" xfId="0" applyAlignment="1" applyProtection="1">
      <alignment wrapText="1"/>
      <protection locked="0"/>
    </xf>
    <xf numFmtId="0" fontId="8" fillId="0" borderId="0" xfId="0" applyFont="1" applyProtection="1">
      <protection locked="0"/>
    </xf>
    <xf numFmtId="0" fontId="1" fillId="0" borderId="0" xfId="0" applyFont="1" applyFill="1" applyProtection="1">
      <protection locked="0"/>
    </xf>
    <xf numFmtId="0" fontId="1" fillId="0" borderId="0" xfId="0" applyFont="1" applyProtection="1">
      <protection locked="0"/>
    </xf>
    <xf numFmtId="3" fontId="1" fillId="0" borderId="0" xfId="0" applyNumberFormat="1" applyFont="1" applyProtection="1">
      <protection locked="0"/>
    </xf>
    <xf numFmtId="3" fontId="1" fillId="0" borderId="0" xfId="0" applyNumberFormat="1" applyFont="1" applyFill="1" applyProtection="1">
      <protection locked="0"/>
    </xf>
    <xf numFmtId="0" fontId="10" fillId="0" borderId="0" xfId="0" applyFont="1" applyFill="1" applyProtection="1">
      <protection locked="0"/>
    </xf>
    <xf numFmtId="0" fontId="11" fillId="0" borderId="0" xfId="0" applyFont="1" applyFill="1" applyProtection="1">
      <protection locked="0"/>
    </xf>
    <xf numFmtId="0" fontId="11" fillId="0" borderId="0" xfId="0" applyFont="1" applyProtection="1">
      <protection locked="0"/>
    </xf>
    <xf numFmtId="0" fontId="11" fillId="0" borderId="0" xfId="0" applyFont="1"/>
    <xf numFmtId="0" fontId="12" fillId="0" borderId="0" xfId="0" applyFont="1" applyProtection="1">
      <protection locked="0"/>
    </xf>
    <xf numFmtId="0" fontId="10" fillId="0" borderId="0" xfId="0" applyFont="1" applyProtection="1">
      <protection locked="0"/>
    </xf>
    <xf numFmtId="3" fontId="1" fillId="0" borderId="0" xfId="0" applyNumberFormat="1" applyFont="1"/>
    <xf numFmtId="3" fontId="0" fillId="0" borderId="0" xfId="0" applyNumberFormat="1" applyProtection="1">
      <protection locked="0"/>
    </xf>
    <xf numFmtId="0" fontId="0" fillId="0" borderId="0" xfId="0" applyAlignment="1" applyProtection="1">
      <alignment horizontal="justify" vertical="top"/>
      <protection locked="0"/>
    </xf>
    <xf numFmtId="0" fontId="1" fillId="0" borderId="0" xfId="2" applyProtection="1">
      <protection locked="0"/>
    </xf>
    <xf numFmtId="0" fontId="1" fillId="0" borderId="0" xfId="2"/>
    <xf numFmtId="0" fontId="11" fillId="0" borderId="0" xfId="2" applyFont="1" applyAlignment="1" applyProtection="1">
      <alignment horizontal="justify" vertical="top"/>
      <protection locked="0"/>
    </xf>
    <xf numFmtId="3" fontId="20" fillId="0" borderId="0" xfId="0" applyNumberFormat="1" applyFont="1" applyFill="1" applyBorder="1" applyProtection="1">
      <protection locked="0"/>
    </xf>
    <xf numFmtId="0" fontId="11" fillId="0" borderId="0" xfId="0" applyFont="1" applyFill="1"/>
    <xf numFmtId="0" fontId="11" fillId="0" borderId="0" xfId="0" applyFont="1" applyAlignment="1" applyProtection="1">
      <alignment horizontal="justify" vertical="top"/>
      <protection locked="0"/>
    </xf>
    <xf numFmtId="0" fontId="7" fillId="0" borderId="0" xfId="0" applyFont="1" applyFill="1"/>
    <xf numFmtId="0" fontId="12" fillId="0" borderId="0" xfId="0" applyFont="1" applyFill="1"/>
    <xf numFmtId="3" fontId="21" fillId="0" borderId="0" xfId="0" applyNumberFormat="1" applyFont="1" applyFill="1" applyBorder="1"/>
    <xf numFmtId="3" fontId="22" fillId="0" borderId="0" xfId="0" applyNumberFormat="1" applyFont="1" applyFill="1" applyBorder="1"/>
    <xf numFmtId="0" fontId="23" fillId="0" borderId="0" xfId="0" applyFont="1" applyFill="1" applyProtection="1">
      <protection locked="0"/>
    </xf>
    <xf numFmtId="0" fontId="23" fillId="0" borderId="0" xfId="0" applyFont="1" applyFill="1"/>
    <xf numFmtId="0" fontId="7" fillId="0" borderId="0" xfId="0" applyFont="1"/>
    <xf numFmtId="3" fontId="1" fillId="0" borderId="0" xfId="1" applyNumberFormat="1" applyAlignment="1">
      <alignment horizontal="left"/>
    </xf>
    <xf numFmtId="3" fontId="12" fillId="0" borderId="0" xfId="1" applyNumberFormat="1" applyFont="1" applyBorder="1" applyAlignment="1">
      <alignment horizontal="left" vertical="center"/>
    </xf>
    <xf numFmtId="0" fontId="1" fillId="0" borderId="0" xfId="1" applyAlignment="1">
      <alignment horizontal="left"/>
    </xf>
    <xf numFmtId="3" fontId="0" fillId="0" borderId="0" xfId="0" applyNumberFormat="1"/>
    <xf numFmtId="3" fontId="1" fillId="0" borderId="0" xfId="0" applyNumberFormat="1" applyFont="1" applyAlignment="1">
      <alignment horizontal="right"/>
    </xf>
    <xf numFmtId="0" fontId="1" fillId="0" borderId="0" xfId="0" applyFont="1" applyAlignment="1">
      <alignment horizontal="right"/>
    </xf>
    <xf numFmtId="49" fontId="6" fillId="0" borderId="0" xfId="1" applyNumberFormat="1" applyFont="1"/>
    <xf numFmtId="49" fontId="25" fillId="0" borderId="0" xfId="1" applyNumberFormat="1" applyFont="1" applyAlignment="1">
      <alignment horizontal="left"/>
    </xf>
    <xf numFmtId="0" fontId="6" fillId="0" borderId="0" xfId="1" applyFont="1"/>
    <xf numFmtId="0" fontId="1" fillId="0" borderId="45" xfId="1" applyBorder="1"/>
    <xf numFmtId="0" fontId="1" fillId="0" borderId="50" xfId="1" applyBorder="1"/>
    <xf numFmtId="3" fontId="1" fillId="0" borderId="52" xfId="1" applyNumberFormat="1" applyBorder="1" applyAlignment="1">
      <alignment horizontal="center" vertical="top" wrapText="1"/>
    </xf>
    <xf numFmtId="3" fontId="10" fillId="0" borderId="53" xfId="1" applyNumberFormat="1" applyFont="1" applyBorder="1" applyAlignment="1">
      <alignment horizontal="center"/>
    </xf>
    <xf numFmtId="3" fontId="11" fillId="0" borderId="54" xfId="1" applyNumberFormat="1" applyFont="1" applyBorder="1"/>
    <xf numFmtId="3" fontId="28" fillId="0" borderId="55" xfId="1" applyNumberFormat="1" applyFont="1" applyBorder="1"/>
    <xf numFmtId="3" fontId="11" fillId="0" borderId="55" xfId="1" applyNumberFormat="1" applyFont="1" applyBorder="1"/>
    <xf numFmtId="3" fontId="11" fillId="0" borderId="53" xfId="1" applyNumberFormat="1" applyFont="1" applyBorder="1"/>
    <xf numFmtId="0" fontId="1" fillId="0" borderId="56" xfId="1" applyBorder="1"/>
    <xf numFmtId="49" fontId="12" fillId="0" borderId="57" xfId="1" applyNumberFormat="1" applyFont="1" applyBorder="1"/>
    <xf numFmtId="3" fontId="12" fillId="0" borderId="57" xfId="1" applyNumberFormat="1" applyFont="1" applyBorder="1"/>
    <xf numFmtId="3" fontId="12" fillId="0" borderId="58" xfId="1" applyNumberFormat="1" applyFont="1" applyBorder="1"/>
    <xf numFmtId="3" fontId="12" fillId="0" borderId="59" xfId="1" applyNumberFormat="1" applyFont="1" applyBorder="1"/>
    <xf numFmtId="3" fontId="12" fillId="0" borderId="60" xfId="1" applyNumberFormat="1" applyFont="1" applyBorder="1"/>
    <xf numFmtId="0" fontId="2" fillId="0" borderId="0" xfId="0" applyFont="1"/>
    <xf numFmtId="0" fontId="9" fillId="0" borderId="0" xfId="0" applyFont="1"/>
    <xf numFmtId="3" fontId="2" fillId="0" borderId="0" xfId="0" applyNumberFormat="1" applyFont="1"/>
    <xf numFmtId="3" fontId="0" fillId="0" borderId="0" xfId="0" applyNumberFormat="1" applyAlignment="1">
      <alignment horizontal="right" indent="2"/>
    </xf>
    <xf numFmtId="3" fontId="2" fillId="0" borderId="0" xfId="0" applyNumberFormat="1" applyFont="1" applyAlignment="1">
      <alignment horizontal="right" indent="2"/>
    </xf>
    <xf numFmtId="3" fontId="0" fillId="0" borderId="0" xfId="0" applyNumberFormat="1" applyAlignment="1">
      <alignment horizontal="right" indent="1"/>
    </xf>
    <xf numFmtId="0" fontId="7" fillId="0" borderId="0" xfId="0" applyFont="1" applyAlignment="1" applyProtection="1">
      <alignment vertical="center"/>
      <protection locked="0"/>
    </xf>
    <xf numFmtId="49" fontId="27" fillId="0" borderId="3" xfId="1" applyNumberFormat="1" applyFont="1" applyBorder="1"/>
    <xf numFmtId="0" fontId="0" fillId="0" borderId="61" xfId="0" applyBorder="1"/>
    <xf numFmtId="0" fontId="0" fillId="0" borderId="62" xfId="0" applyBorder="1"/>
    <xf numFmtId="4" fontId="21" fillId="0" borderId="0" xfId="0" applyNumberFormat="1" applyFont="1" applyFill="1" applyBorder="1"/>
    <xf numFmtId="4" fontId="0" fillId="0" borderId="0" xfId="0" applyNumberFormat="1"/>
    <xf numFmtId="3" fontId="32" fillId="0" borderId="15" xfId="0" applyNumberFormat="1" applyFont="1" applyFill="1" applyBorder="1" applyAlignment="1">
      <alignment horizontal="right" vertical="center"/>
    </xf>
    <xf numFmtId="3" fontId="11" fillId="0" borderId="64" xfId="1" applyNumberFormat="1" applyFont="1" applyBorder="1" applyAlignment="1">
      <alignment horizontal="right" vertical="center"/>
    </xf>
    <xf numFmtId="3" fontId="12" fillId="0" borderId="64" xfId="1" applyNumberFormat="1" applyFont="1" applyBorder="1" applyAlignment="1">
      <alignment horizontal="right" vertical="center"/>
    </xf>
    <xf numFmtId="0" fontId="1" fillId="0" borderId="6" xfId="1" applyBorder="1"/>
    <xf numFmtId="0" fontId="1" fillId="0" borderId="67" xfId="1" applyBorder="1" applyAlignment="1">
      <alignment horizontal="center"/>
    </xf>
    <xf numFmtId="0" fontId="1" fillId="0" borderId="68" xfId="1" applyBorder="1" applyAlignment="1">
      <alignment horizontal="center"/>
    </xf>
    <xf numFmtId="3" fontId="0" fillId="0" borderId="0" xfId="0" applyNumberFormat="1" applyFill="1" applyProtection="1">
      <protection locked="0"/>
    </xf>
    <xf numFmtId="3" fontId="10" fillId="0" borderId="63" xfId="1" applyNumberFormat="1" applyFont="1" applyBorder="1" applyAlignment="1">
      <alignment horizontal="center"/>
    </xf>
    <xf numFmtId="3" fontId="12" fillId="0" borderId="72" xfId="1" applyNumberFormat="1" applyFont="1" applyBorder="1"/>
    <xf numFmtId="3" fontId="27" fillId="0" borderId="50" xfId="1" applyNumberFormat="1" applyFont="1" applyBorder="1"/>
    <xf numFmtId="3" fontId="11" fillId="0" borderId="50" xfId="1" applyNumberFormat="1" applyFont="1" applyBorder="1"/>
    <xf numFmtId="3" fontId="12" fillId="0" borderId="73" xfId="1" applyNumberFormat="1" applyFont="1" applyBorder="1"/>
    <xf numFmtId="3" fontId="12" fillId="0" borderId="74" xfId="1" applyNumberFormat="1" applyFont="1" applyBorder="1"/>
    <xf numFmtId="4" fontId="1" fillId="0" borderId="0" xfId="1" applyNumberFormat="1" applyAlignment="1"/>
    <xf numFmtId="0" fontId="1" fillId="0" borderId="0" xfId="0" applyFont="1"/>
    <xf numFmtId="10" fontId="0" fillId="0" borderId="0" xfId="0" applyNumberFormat="1"/>
    <xf numFmtId="10" fontId="12" fillId="0" borderId="0" xfId="0" applyNumberFormat="1" applyFont="1"/>
    <xf numFmtId="3" fontId="12" fillId="0" borderId="0" xfId="0" applyNumberFormat="1" applyFont="1"/>
    <xf numFmtId="0" fontId="10" fillId="0" borderId="0" xfId="0" applyFont="1" applyAlignment="1">
      <alignment horizontal="center" wrapText="1"/>
    </xf>
    <xf numFmtId="0" fontId="10" fillId="0" borderId="0" xfId="0" applyFont="1" applyAlignment="1">
      <alignment horizontal="center" vertical="top"/>
    </xf>
    <xf numFmtId="0" fontId="1" fillId="2" borderId="0" xfId="0" applyFont="1" applyFill="1"/>
    <xf numFmtId="0" fontId="0" fillId="2" borderId="0" xfId="0" applyFill="1"/>
    <xf numFmtId="3" fontId="7" fillId="2" borderId="0" xfId="0" applyNumberFormat="1" applyFont="1" applyFill="1"/>
    <xf numFmtId="0" fontId="1" fillId="0" borderId="0" xfId="0" applyFont="1" applyAlignment="1">
      <alignment horizontal="center"/>
    </xf>
    <xf numFmtId="0" fontId="9" fillId="2" borderId="0" xfId="0" applyFont="1" applyFill="1"/>
    <xf numFmtId="0" fontId="0" fillId="0" borderId="45" xfId="0" applyBorder="1"/>
    <xf numFmtId="0" fontId="0" fillId="0" borderId="75" xfId="0" applyBorder="1"/>
    <xf numFmtId="0" fontId="0" fillId="0" borderId="50" xfId="0" applyBorder="1"/>
    <xf numFmtId="0" fontId="0" fillId="0" borderId="0" xfId="0" applyBorder="1"/>
    <xf numFmtId="0" fontId="10" fillId="0" borderId="50" xfId="0" applyFont="1" applyBorder="1" applyAlignment="1">
      <alignment horizontal="center"/>
    </xf>
    <xf numFmtId="0" fontId="10" fillId="0" borderId="0" xfId="0" applyFont="1" applyBorder="1" applyAlignment="1">
      <alignment horizontal="center"/>
    </xf>
    <xf numFmtId="0" fontId="1" fillId="0" borderId="0" xfId="0" applyFont="1" applyBorder="1" applyAlignment="1">
      <alignment horizontal="center"/>
    </xf>
    <xf numFmtId="0" fontId="1" fillId="0" borderId="62" xfId="0" applyFont="1" applyBorder="1" applyAlignment="1">
      <alignment horizontal="center"/>
    </xf>
    <xf numFmtId="3" fontId="0" fillId="0" borderId="75" xfId="0" applyNumberFormat="1" applyBorder="1"/>
    <xf numFmtId="10" fontId="0" fillId="0" borderId="75" xfId="0" applyNumberFormat="1" applyBorder="1"/>
    <xf numFmtId="3" fontId="0" fillId="0" borderId="61" xfId="0" applyNumberFormat="1" applyBorder="1"/>
    <xf numFmtId="0" fontId="9" fillId="0" borderId="50" xfId="0" applyFont="1" applyBorder="1"/>
    <xf numFmtId="3" fontId="0" fillId="0" borderId="0" xfId="0" applyNumberFormat="1" applyBorder="1"/>
    <xf numFmtId="10" fontId="0" fillId="0" borderId="0" xfId="0" applyNumberFormat="1" applyBorder="1"/>
    <xf numFmtId="3" fontId="0" fillId="0" borderId="62" xfId="0" applyNumberFormat="1" applyBorder="1"/>
    <xf numFmtId="0" fontId="0" fillId="0" borderId="56" xfId="0" applyBorder="1"/>
    <xf numFmtId="10" fontId="12" fillId="0" borderId="76" xfId="0" applyNumberFormat="1" applyFont="1" applyBorder="1"/>
    <xf numFmtId="3" fontId="12" fillId="0" borderId="77" xfId="0" applyNumberFormat="1" applyFont="1" applyBorder="1"/>
    <xf numFmtId="0" fontId="9" fillId="0" borderId="78" xfId="0" applyFont="1" applyBorder="1"/>
    <xf numFmtId="0" fontId="9" fillId="0" borderId="79" xfId="0" applyFont="1" applyBorder="1"/>
    <xf numFmtId="0" fontId="0" fillId="0" borderId="80" xfId="0" applyBorder="1"/>
    <xf numFmtId="3" fontId="12" fillId="0" borderId="76" xfId="0" applyNumberFormat="1" applyFont="1" applyBorder="1"/>
    <xf numFmtId="3" fontId="0" fillId="0" borderId="76" xfId="0" applyNumberFormat="1" applyBorder="1"/>
    <xf numFmtId="0" fontId="0" fillId="0" borderId="77" xfId="0" applyBorder="1"/>
    <xf numFmtId="3" fontId="0" fillId="0" borderId="50" xfId="0" applyNumberFormat="1" applyBorder="1"/>
    <xf numFmtId="3" fontId="9" fillId="0" borderId="62" xfId="0" applyNumberFormat="1" applyFont="1" applyBorder="1"/>
    <xf numFmtId="3" fontId="0" fillId="0" borderId="56" xfId="0" applyNumberFormat="1" applyBorder="1"/>
    <xf numFmtId="0" fontId="30" fillId="3" borderId="50" xfId="0" applyFont="1" applyFill="1" applyBorder="1"/>
    <xf numFmtId="3" fontId="34" fillId="3" borderId="56" xfId="0" applyNumberFormat="1" applyFont="1" applyFill="1" applyBorder="1"/>
    <xf numFmtId="3" fontId="34" fillId="3" borderId="76" xfId="0" applyNumberFormat="1" applyFont="1" applyFill="1" applyBorder="1"/>
    <xf numFmtId="3" fontId="34" fillId="3" borderId="77" xfId="0" applyNumberFormat="1" applyFont="1" applyFill="1" applyBorder="1"/>
    <xf numFmtId="3" fontId="34" fillId="0" borderId="50" xfId="0" applyNumberFormat="1" applyFont="1" applyFill="1" applyBorder="1"/>
    <xf numFmtId="3" fontId="34" fillId="0" borderId="0" xfId="0" applyNumberFormat="1" applyFont="1" applyFill="1" applyBorder="1"/>
    <xf numFmtId="3" fontId="34" fillId="0" borderId="62" xfId="0" applyNumberFormat="1" applyFont="1" applyFill="1" applyBorder="1"/>
    <xf numFmtId="0" fontId="1" fillId="0" borderId="50" xfId="0" applyFont="1" applyFill="1" applyBorder="1"/>
    <xf numFmtId="0" fontId="35" fillId="0" borderId="45" xfId="0" applyFont="1" applyBorder="1"/>
    <xf numFmtId="0" fontId="31" fillId="3" borderId="62" xfId="0" applyFont="1" applyFill="1" applyBorder="1"/>
    <xf numFmtId="0" fontId="14" fillId="2" borderId="0" xfId="0" applyFont="1" applyFill="1"/>
    <xf numFmtId="0" fontId="9" fillId="0" borderId="56" xfId="0" applyFont="1" applyBorder="1"/>
    <xf numFmtId="0" fontId="25" fillId="2" borderId="0" xfId="0" applyFont="1" applyFill="1"/>
    <xf numFmtId="3" fontId="2" fillId="0" borderId="0" xfId="1" applyNumberFormat="1" applyFont="1"/>
    <xf numFmtId="0" fontId="0" fillId="0" borderId="62" xfId="0" applyBorder="1" applyAlignment="1">
      <alignment horizontal="center"/>
    </xf>
    <xf numFmtId="0" fontId="36" fillId="0" borderId="75" xfId="0" applyFont="1" applyBorder="1" applyAlignment="1">
      <alignment horizontal="center" wrapText="1"/>
    </xf>
    <xf numFmtId="0" fontId="10" fillId="0" borderId="45" xfId="0" applyFont="1" applyBorder="1" applyAlignment="1">
      <alignment horizontal="center" vertical="top"/>
    </xf>
    <xf numFmtId="0" fontId="10" fillId="0" borderId="75" xfId="0" applyFont="1" applyBorder="1" applyAlignment="1">
      <alignment horizontal="center" vertical="top"/>
    </xf>
    <xf numFmtId="0" fontId="33" fillId="0" borderId="75" xfId="0" applyFont="1" applyBorder="1" applyAlignment="1">
      <alignment horizontal="center" vertical="top" wrapText="1"/>
    </xf>
    <xf numFmtId="0" fontId="33" fillId="0" borderId="61" xfId="0" applyFont="1" applyBorder="1" applyAlignment="1">
      <alignment horizontal="center" vertical="top" wrapText="1"/>
    </xf>
    <xf numFmtId="0" fontId="36" fillId="0" borderId="75" xfId="0" applyFont="1" applyBorder="1" applyAlignment="1">
      <alignment horizontal="center" vertical="top" wrapText="1"/>
    </xf>
    <xf numFmtId="0" fontId="33" fillId="0" borderId="62" xfId="0" applyFont="1" applyBorder="1" applyAlignment="1">
      <alignment wrapText="1" shrinkToFit="1"/>
    </xf>
    <xf numFmtId="0" fontId="10" fillId="0" borderId="79" xfId="0" applyFont="1" applyBorder="1"/>
    <xf numFmtId="0" fontId="10" fillId="0" borderId="50" xfId="0" applyFont="1" applyBorder="1"/>
    <xf numFmtId="3" fontId="1" fillId="0" borderId="0" xfId="0" applyNumberFormat="1" applyFont="1" applyAlignment="1"/>
    <xf numFmtId="3" fontId="10" fillId="0" borderId="0" xfId="0" applyNumberFormat="1" applyFont="1" applyAlignment="1"/>
    <xf numFmtId="3" fontId="37" fillId="0" borderId="0" xfId="0" applyNumberFormat="1" applyFont="1" applyAlignment="1"/>
    <xf numFmtId="0" fontId="1" fillId="0" borderId="0" xfId="1" applyAlignment="1"/>
    <xf numFmtId="0" fontId="1" fillId="0" borderId="0" xfId="1" applyAlignment="1">
      <alignment horizontal="right"/>
    </xf>
    <xf numFmtId="0" fontId="9" fillId="0" borderId="0" xfId="0" applyFont="1" applyAlignment="1">
      <alignment horizontal="center" wrapText="1" shrinkToFit="1"/>
    </xf>
    <xf numFmtId="3" fontId="9" fillId="0" borderId="82" xfId="1" applyNumberFormat="1" applyFont="1" applyBorder="1" applyAlignment="1">
      <alignment horizontal="center" vertical="top" wrapText="1"/>
    </xf>
    <xf numFmtId="3" fontId="10" fillId="0" borderId="26" xfId="1" applyNumberFormat="1" applyFont="1" applyBorder="1" applyAlignment="1">
      <alignment horizontal="center"/>
    </xf>
    <xf numFmtId="3" fontId="11" fillId="0" borderId="83" xfId="1" applyNumberFormat="1" applyFont="1" applyBorder="1"/>
    <xf numFmtId="3" fontId="28" fillId="0" borderId="84" xfId="1" applyNumberFormat="1" applyFont="1" applyBorder="1"/>
    <xf numFmtId="3" fontId="11" fillId="0" borderId="84" xfId="1" applyNumberFormat="1" applyFont="1" applyBorder="1"/>
    <xf numFmtId="3" fontId="1" fillId="0" borderId="85" xfId="1" applyNumberFormat="1" applyBorder="1" applyAlignment="1">
      <alignment horizontal="center" vertical="top" wrapText="1"/>
    </xf>
    <xf numFmtId="3" fontId="10" fillId="0" borderId="86" xfId="1" applyNumberFormat="1" applyFont="1" applyBorder="1" applyAlignment="1">
      <alignment horizontal="center"/>
    </xf>
    <xf numFmtId="3" fontId="11" fillId="0" borderId="87" xfId="1" applyNumberFormat="1" applyFont="1" applyBorder="1"/>
    <xf numFmtId="3" fontId="28" fillId="0" borderId="62" xfId="1" applyNumberFormat="1" applyFont="1" applyBorder="1"/>
    <xf numFmtId="3" fontId="11" fillId="0" borderId="62" xfId="1" applyNumberFormat="1" applyFont="1" applyBorder="1"/>
    <xf numFmtId="0" fontId="1" fillId="0" borderId="0" xfId="1" applyBorder="1"/>
    <xf numFmtId="0" fontId="7" fillId="0" borderId="0" xfId="0" applyFont="1" applyBorder="1" applyAlignment="1"/>
    <xf numFmtId="0" fontId="38" fillId="0" borderId="88" xfId="1" applyFont="1" applyBorder="1"/>
    <xf numFmtId="0" fontId="39" fillId="0" borderId="88" xfId="1" applyFont="1" applyBorder="1"/>
    <xf numFmtId="3" fontId="40" fillId="0" borderId="88" xfId="1" applyNumberFormat="1" applyFont="1" applyBorder="1" applyAlignment="1"/>
    <xf numFmtId="0" fontId="11" fillId="0" borderId="0" xfId="0" applyFont="1" applyAlignment="1">
      <alignment vertical="top" wrapText="1"/>
    </xf>
    <xf numFmtId="4" fontId="1" fillId="0" borderId="0" xfId="1" applyNumberFormat="1" applyAlignment="1">
      <alignment shrinkToFit="1"/>
    </xf>
    <xf numFmtId="3" fontId="12" fillId="0" borderId="40" xfId="0" applyNumberFormat="1" applyFont="1" applyBorder="1" applyAlignment="1">
      <alignment horizontal="right" vertical="center" wrapText="1"/>
    </xf>
    <xf numFmtId="3" fontId="12" fillId="0" borderId="41" xfId="0" applyNumberFormat="1" applyFont="1" applyBorder="1" applyAlignment="1">
      <alignment horizontal="right" vertical="center" wrapText="1"/>
    </xf>
    <xf numFmtId="3" fontId="12" fillId="0" borderId="37" xfId="0" applyNumberFormat="1" applyFont="1" applyBorder="1" applyAlignment="1">
      <alignment horizontal="right" vertical="center" wrapText="1"/>
    </xf>
    <xf numFmtId="49" fontId="2" fillId="0" borderId="37" xfId="0" applyNumberFormat="1"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right" vertical="center" wrapText="1"/>
    </xf>
    <xf numFmtId="49" fontId="2" fillId="0" borderId="44" xfId="0" applyNumberFormat="1" applyFont="1" applyBorder="1" applyAlignment="1">
      <alignment horizontal="right" vertical="center" wrapText="1"/>
    </xf>
    <xf numFmtId="0" fontId="1" fillId="0" borderId="15" xfId="0" applyFont="1" applyBorder="1" applyAlignment="1">
      <alignment horizontal="left" vertical="center"/>
    </xf>
    <xf numFmtId="49" fontId="1" fillId="0" borderId="14" xfId="0" applyNumberFormat="1" applyFont="1" applyBorder="1" applyAlignment="1">
      <alignment horizontal="right" vertical="center"/>
    </xf>
    <xf numFmtId="49" fontId="1" fillId="0" borderId="15" xfId="0" applyNumberFormat="1" applyFont="1" applyBorder="1" applyAlignment="1">
      <alignment horizontal="right" vertical="center"/>
    </xf>
    <xf numFmtId="0" fontId="1" fillId="0" borderId="0" xfId="0" applyFont="1" applyAlignment="1"/>
    <xf numFmtId="0" fontId="1" fillId="0" borderId="0" xfId="1" applyFill="1" applyAlignment="1"/>
    <xf numFmtId="3" fontId="26" fillId="0" borderId="13" xfId="0" applyNumberFormat="1" applyFont="1" applyBorder="1"/>
    <xf numFmtId="3" fontId="26" fillId="0" borderId="12" xfId="0" applyNumberFormat="1" applyFont="1" applyBorder="1"/>
    <xf numFmtId="3" fontId="27" fillId="0" borderId="10" xfId="0" applyNumberFormat="1" applyFont="1" applyBorder="1"/>
    <xf numFmtId="3" fontId="28" fillId="0" borderId="12" xfId="0" applyNumberFormat="1" applyFont="1" applyBorder="1"/>
    <xf numFmtId="49" fontId="29" fillId="0" borderId="10" xfId="0" applyNumberFormat="1" applyFont="1" applyBorder="1"/>
    <xf numFmtId="3" fontId="0" fillId="0" borderId="22" xfId="0" applyNumberFormat="1" applyBorder="1"/>
    <xf numFmtId="3" fontId="0" fillId="0" borderId="5" xfId="0" applyNumberFormat="1" applyBorder="1"/>
    <xf numFmtId="3" fontId="10" fillId="0" borderId="3" xfId="0" applyNumberFormat="1" applyFont="1" applyBorder="1"/>
    <xf numFmtId="3" fontId="10" fillId="0" borderId="5" xfId="0" applyNumberFormat="1" applyFont="1" applyBorder="1"/>
    <xf numFmtId="49" fontId="0" fillId="0" borderId="3" xfId="0" applyNumberFormat="1" applyBorder="1"/>
    <xf numFmtId="3" fontId="0" fillId="0" borderId="3" xfId="0" applyNumberFormat="1" applyBorder="1"/>
    <xf numFmtId="3" fontId="9" fillId="0" borderId="23" xfId="0" applyNumberFormat="1" applyFont="1" applyBorder="1" applyAlignment="1">
      <alignment horizontal="center" wrapText="1"/>
    </xf>
    <xf numFmtId="3" fontId="9" fillId="0" borderId="24" xfId="0" applyNumberFormat="1" applyFont="1" applyBorder="1" applyAlignment="1">
      <alignment horizontal="center" wrapText="1"/>
    </xf>
    <xf numFmtId="0" fontId="0" fillId="0" borderId="0" xfId="0" applyAlignment="1">
      <alignment horizontal="right"/>
    </xf>
    <xf numFmtId="49" fontId="0" fillId="0" borderId="0" xfId="0" applyNumberFormat="1"/>
    <xf numFmtId="49" fontId="8" fillId="0" borderId="0" xfId="0" applyNumberFormat="1" applyFont="1" applyAlignment="1">
      <alignment horizontal="right"/>
    </xf>
    <xf numFmtId="0" fontId="8" fillId="0" borderId="0" xfId="0" applyFont="1" applyAlignment="1">
      <alignment horizontal="right"/>
    </xf>
    <xf numFmtId="0" fontId="14" fillId="0" borderId="0" xfId="0" applyFont="1"/>
    <xf numFmtId="0" fontId="14" fillId="0" borderId="0" xfId="0" applyFont="1" applyAlignment="1">
      <alignment vertical="top"/>
    </xf>
    <xf numFmtId="49" fontId="14" fillId="0" borderId="0" xfId="0" applyNumberFormat="1" applyFont="1" applyAlignment="1">
      <alignment horizontal="left"/>
    </xf>
    <xf numFmtId="0" fontId="1" fillId="0" borderId="0" xfId="1" applyFont="1" applyProtection="1">
      <protection locked="0"/>
    </xf>
    <xf numFmtId="0" fontId="1" fillId="0" borderId="0" xfId="1" applyFont="1" applyAlignment="1" applyProtection="1">
      <protection locked="0"/>
    </xf>
    <xf numFmtId="0" fontId="1" fillId="0" borderId="0" xfId="1" applyFont="1" applyAlignment="1" applyProtection="1">
      <alignment vertical="center"/>
      <protection locked="0"/>
    </xf>
    <xf numFmtId="0" fontId="1" fillId="0" borderId="0" xfId="1" applyFont="1"/>
    <xf numFmtId="0" fontId="1" fillId="0" borderId="0" xfId="1" applyFont="1" applyAlignment="1">
      <alignment horizontal="left" indent="6"/>
    </xf>
    <xf numFmtId="0" fontId="2" fillId="0" borderId="0" xfId="1" applyFont="1" applyAlignment="1" applyProtection="1">
      <alignment vertical="center"/>
      <protection locked="0"/>
    </xf>
    <xf numFmtId="0" fontId="1" fillId="0" borderId="0" xfId="1" applyFont="1" applyAlignment="1">
      <alignment horizontal="justify" wrapText="1"/>
    </xf>
    <xf numFmtId="0" fontId="1" fillId="0" borderId="0" xfId="1" applyFont="1" applyBorder="1" applyAlignment="1" applyProtection="1">
      <alignment vertical="justify"/>
      <protection locked="0"/>
    </xf>
    <xf numFmtId="3" fontId="1" fillId="0" borderId="0" xfId="1" applyNumberFormat="1" applyFont="1" applyBorder="1" applyAlignment="1" applyProtection="1">
      <alignment vertical="justify"/>
      <protection locked="0"/>
    </xf>
    <xf numFmtId="0" fontId="1" fillId="0" borderId="0" xfId="1" applyFont="1" applyAlignment="1" applyProtection="1">
      <alignment horizontal="justify" vertical="justify"/>
      <protection locked="0"/>
    </xf>
    <xf numFmtId="0" fontId="1" fillId="0" borderId="0" xfId="1" applyFont="1" applyAlignment="1" applyProtection="1">
      <alignment horizontal="right"/>
      <protection locked="0"/>
    </xf>
    <xf numFmtId="0" fontId="1" fillId="0" borderId="0" xfId="1" applyFont="1" applyAlignment="1" applyProtection="1">
      <alignment horizontal="right" indent="4"/>
      <protection locked="0"/>
    </xf>
    <xf numFmtId="0" fontId="1" fillId="0" borderId="0" xfId="1" applyFont="1" applyAlignment="1">
      <alignment vertical="justify" wrapText="1"/>
    </xf>
    <xf numFmtId="3" fontId="0" fillId="0" borderId="16" xfId="0" applyNumberFormat="1" applyBorder="1"/>
    <xf numFmtId="3" fontId="0" fillId="0" borderId="14" xfId="0" applyNumberFormat="1" applyBorder="1"/>
    <xf numFmtId="3" fontId="12" fillId="0" borderId="15" xfId="0" applyNumberFormat="1" applyFont="1" applyBorder="1"/>
    <xf numFmtId="3" fontId="11" fillId="0" borderId="16" xfId="0" applyNumberFormat="1" applyFont="1" applyBorder="1"/>
    <xf numFmtId="3" fontId="11" fillId="0" borderId="14" xfId="0" applyNumberFormat="1" applyFont="1" applyBorder="1"/>
    <xf numFmtId="49" fontId="12" fillId="0" borderId="15" xfId="0" applyNumberFormat="1" applyFont="1" applyBorder="1"/>
    <xf numFmtId="0" fontId="0" fillId="0" borderId="3" xfId="0" applyBorder="1"/>
    <xf numFmtId="3" fontId="26" fillId="0" borderId="22" xfId="0" applyNumberFormat="1" applyFont="1" applyBorder="1"/>
    <xf numFmtId="3" fontId="26" fillId="0" borderId="5" xfId="0" applyNumberFormat="1" applyFont="1" applyBorder="1"/>
    <xf numFmtId="3" fontId="27" fillId="0" borderId="3" xfId="0" applyNumberFormat="1" applyFont="1" applyBorder="1"/>
    <xf numFmtId="3" fontId="28" fillId="0" borderId="22" xfId="0" applyNumberFormat="1" applyFont="1" applyBorder="1"/>
    <xf numFmtId="3" fontId="28" fillId="0" borderId="5" xfId="0" applyNumberFormat="1" applyFont="1" applyBorder="1"/>
    <xf numFmtId="49" fontId="29" fillId="0" borderId="3" xfId="0" applyNumberFormat="1" applyFont="1" applyBorder="1"/>
    <xf numFmtId="3" fontId="28" fillId="0" borderId="13" xfId="0" applyNumberFormat="1" applyFont="1" applyBorder="1"/>
    <xf numFmtId="3" fontId="10" fillId="0" borderId="22" xfId="0" applyNumberFormat="1" applyFont="1" applyBorder="1"/>
    <xf numFmtId="3" fontId="12" fillId="0" borderId="16" xfId="0" applyNumberFormat="1" applyFont="1" applyBorder="1"/>
    <xf numFmtId="3" fontId="12" fillId="0" borderId="14" xfId="0" applyNumberFormat="1" applyFont="1" applyBorder="1"/>
    <xf numFmtId="49" fontId="12" fillId="0" borderId="17" xfId="0" applyNumberFormat="1" applyFont="1" applyBorder="1" applyAlignment="1">
      <alignment horizontal="left" vertical="center" wrapText="1"/>
    </xf>
    <xf numFmtId="49" fontId="2" fillId="0" borderId="42" xfId="0" applyNumberFormat="1" applyFont="1" applyBorder="1" applyAlignment="1">
      <alignment horizontal="left" vertical="center" wrapText="1"/>
    </xf>
    <xf numFmtId="49" fontId="1" fillId="0" borderId="15" xfId="0" applyNumberFormat="1" applyFont="1" applyBorder="1" applyAlignment="1">
      <alignment horizontal="left" vertical="center"/>
    </xf>
    <xf numFmtId="49" fontId="2" fillId="0" borderId="15" xfId="0" applyNumberFormat="1" applyFont="1" applyBorder="1" applyAlignment="1">
      <alignment horizontal="left" vertical="center" wrapText="1"/>
    </xf>
    <xf numFmtId="49" fontId="8" fillId="0" borderId="0" xfId="0" applyNumberFormat="1" applyFont="1" applyAlignment="1">
      <alignment horizontal="left"/>
    </xf>
    <xf numFmtId="3" fontId="0" fillId="0" borderId="0" xfId="0" applyNumberFormat="1" applyFill="1" applyAlignment="1"/>
    <xf numFmtId="3" fontId="12" fillId="0" borderId="16"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12" fillId="0" borderId="40" xfId="0" applyNumberFormat="1" applyFont="1" applyFill="1" applyBorder="1" applyAlignment="1">
      <alignment horizontal="right" vertical="center" wrapText="1"/>
    </xf>
    <xf numFmtId="3" fontId="12" fillId="0" borderId="41" xfId="0" applyNumberFormat="1" applyFont="1" applyFill="1" applyBorder="1" applyAlignment="1">
      <alignment horizontal="right" vertical="center" wrapText="1"/>
    </xf>
    <xf numFmtId="3" fontId="11" fillId="0" borderId="14" xfId="0" applyNumberFormat="1" applyFont="1" applyFill="1" applyBorder="1" applyAlignment="1">
      <alignment horizontal="right" vertical="center"/>
    </xf>
    <xf numFmtId="3" fontId="11" fillId="0" borderId="15" xfId="0" applyNumberFormat="1" applyFont="1" applyFill="1" applyBorder="1" applyAlignment="1">
      <alignment horizontal="right" vertical="center"/>
    </xf>
    <xf numFmtId="3" fontId="1" fillId="0" borderId="0" xfId="0" applyNumberFormat="1" applyFont="1" applyFill="1" applyAlignment="1">
      <alignment horizontal="right"/>
    </xf>
    <xf numFmtId="3" fontId="8" fillId="0" borderId="0" xfId="0" applyNumberFormat="1" applyFont="1" applyFill="1" applyAlignment="1">
      <alignment horizontal="left"/>
    </xf>
    <xf numFmtId="3" fontId="7" fillId="0" borderId="0" xfId="0" applyNumberFormat="1" applyFont="1" applyFill="1" applyAlignment="1">
      <alignment horizontal="left"/>
    </xf>
    <xf numFmtId="3" fontId="3" fillId="0" borderId="0" xfId="0" applyNumberFormat="1" applyFont="1" applyFill="1" applyAlignment="1">
      <alignment horizontal="left"/>
    </xf>
    <xf numFmtId="3" fontId="12" fillId="0" borderId="14" xfId="0" applyNumberFormat="1" applyFont="1" applyBorder="1" applyAlignment="1">
      <alignment horizontal="right" vertical="center" shrinkToFit="1"/>
    </xf>
    <xf numFmtId="4" fontId="1" fillId="0" borderId="0" xfId="1" applyNumberFormat="1"/>
    <xf numFmtId="49" fontId="1" fillId="0" borderId="15" xfId="0" applyNumberFormat="1" applyFont="1" applyFill="1" applyBorder="1" applyAlignment="1">
      <alignment horizontal="right" vertical="center"/>
    </xf>
    <xf numFmtId="49" fontId="1" fillId="0" borderId="14" xfId="0" applyNumberFormat="1" applyFont="1" applyFill="1" applyBorder="1" applyAlignment="1">
      <alignment horizontal="right" vertical="center"/>
    </xf>
    <xf numFmtId="49" fontId="1" fillId="0" borderId="15" xfId="0" applyNumberFormat="1" applyFont="1" applyFill="1" applyBorder="1" applyAlignment="1">
      <alignment horizontal="left" vertical="center"/>
    </xf>
    <xf numFmtId="49" fontId="1" fillId="0" borderId="15" xfId="0" applyNumberFormat="1" applyFont="1" applyFill="1" applyBorder="1" applyAlignment="1">
      <alignment horizontal="left" vertical="center" wrapText="1"/>
    </xf>
    <xf numFmtId="3" fontId="11" fillId="0" borderId="16" xfId="0" applyNumberFormat="1" applyFont="1" applyFill="1" applyBorder="1" applyAlignment="1">
      <alignment horizontal="right" vertical="center"/>
    </xf>
    <xf numFmtId="0" fontId="0" fillId="0" borderId="0" xfId="0" applyFill="1"/>
    <xf numFmtId="49" fontId="1" fillId="0" borderId="3" xfId="0" applyNumberFormat="1" applyFont="1" applyBorder="1"/>
    <xf numFmtId="0" fontId="40" fillId="0" borderId="0" xfId="0" applyFont="1"/>
    <xf numFmtId="0" fontId="1" fillId="0" borderId="0" xfId="1" applyFill="1"/>
    <xf numFmtId="49" fontId="12" fillId="0" borderId="0" xfId="1" applyNumberFormat="1" applyFont="1" applyFill="1" applyBorder="1"/>
    <xf numFmtId="3" fontId="12" fillId="0" borderId="0" xfId="1" applyNumberFormat="1" applyFont="1" applyFill="1" applyBorder="1"/>
    <xf numFmtId="3" fontId="11" fillId="0" borderId="0" xfId="1" applyNumberFormat="1" applyFont="1" applyFill="1" applyBorder="1"/>
    <xf numFmtId="0" fontId="41" fillId="0" borderId="0" xfId="1" applyFont="1" applyBorder="1"/>
    <xf numFmtId="10" fontId="1" fillId="0" borderId="65" xfId="1" applyNumberFormat="1" applyBorder="1" applyAlignment="1">
      <alignment shrinkToFit="1"/>
    </xf>
    <xf numFmtId="0" fontId="43" fillId="4" borderId="0" xfId="1" applyFont="1" applyFill="1"/>
    <xf numFmtId="0" fontId="2" fillId="4" borderId="0" xfId="1" applyFont="1" applyFill="1"/>
    <xf numFmtId="4" fontId="1" fillId="4" borderId="0" xfId="1" applyNumberFormat="1" applyFill="1" applyAlignment="1">
      <alignment horizontal="left" shrinkToFit="1"/>
    </xf>
    <xf numFmtId="0" fontId="43" fillId="4" borderId="0" xfId="0" applyFont="1" applyFill="1"/>
    <xf numFmtId="3" fontId="44" fillId="4" borderId="0" xfId="0" applyNumberFormat="1" applyFont="1" applyFill="1" applyBorder="1" applyAlignment="1">
      <alignment horizontal="left"/>
    </xf>
    <xf numFmtId="4" fontId="43" fillId="4" borderId="0" xfId="1" applyNumberFormat="1" applyFont="1" applyFill="1" applyAlignment="1"/>
    <xf numFmtId="0" fontId="1" fillId="5" borderId="0" xfId="1" applyFill="1"/>
    <xf numFmtId="3" fontId="12" fillId="0" borderId="14" xfId="1" applyNumberFormat="1" applyFont="1" applyBorder="1" applyAlignment="1">
      <alignment horizontal="right" vertical="center"/>
    </xf>
    <xf numFmtId="4" fontId="43" fillId="4" borderId="0" xfId="1" applyNumberFormat="1" applyFont="1" applyFill="1" applyBorder="1" applyAlignment="1"/>
    <xf numFmtId="3" fontId="42" fillId="4" borderId="0" xfId="1" applyNumberFormat="1" applyFont="1" applyFill="1" applyBorder="1"/>
    <xf numFmtId="49" fontId="1" fillId="5" borderId="15" xfId="1" applyNumberFormat="1" applyFont="1" applyFill="1" applyBorder="1" applyAlignment="1">
      <alignment horizontal="left" vertical="center" wrapText="1"/>
    </xf>
    <xf numFmtId="0" fontId="12" fillId="5" borderId="17" xfId="1" applyFont="1" applyFill="1" applyBorder="1" applyAlignment="1">
      <alignment horizontal="left" vertical="center" wrapText="1"/>
    </xf>
    <xf numFmtId="3" fontId="3" fillId="0" borderId="0" xfId="1" applyNumberFormat="1" applyFont="1" applyFill="1" applyAlignment="1">
      <alignment horizontal="right"/>
    </xf>
    <xf numFmtId="3" fontId="7" fillId="0" borderId="0" xfId="1" applyNumberFormat="1" applyFont="1" applyFill="1" applyAlignment="1">
      <alignment horizontal="right"/>
    </xf>
    <xf numFmtId="3" fontId="8" fillId="0" borderId="0" xfId="1" applyNumberFormat="1" applyFont="1" applyFill="1" applyAlignment="1">
      <alignment horizontal="left"/>
    </xf>
    <xf numFmtId="3" fontId="1" fillId="0" borderId="0" xfId="1" applyNumberFormat="1" applyFont="1" applyFill="1" applyAlignment="1">
      <alignment horizontal="right"/>
    </xf>
    <xf numFmtId="4" fontId="11" fillId="0" borderId="14" xfId="1" applyNumberFormat="1" applyFont="1" applyFill="1" applyBorder="1" applyAlignment="1">
      <alignment horizontal="right" vertical="center"/>
    </xf>
    <xf numFmtId="3" fontId="11" fillId="0" borderId="14" xfId="1" applyNumberFormat="1" applyFont="1" applyFill="1" applyBorder="1" applyAlignment="1">
      <alignment horizontal="right" vertical="center"/>
    </xf>
    <xf numFmtId="3" fontId="11" fillId="0" borderId="16" xfId="1" applyNumberFormat="1" applyFont="1" applyFill="1" applyBorder="1" applyAlignment="1">
      <alignment horizontal="right" vertical="center"/>
    </xf>
    <xf numFmtId="4" fontId="12" fillId="0" borderId="21" xfId="1" applyNumberFormat="1" applyFont="1" applyFill="1" applyBorder="1" applyAlignment="1">
      <alignment horizontal="right" vertical="center"/>
    </xf>
    <xf numFmtId="3" fontId="12" fillId="0" borderId="21" xfId="1" applyNumberFormat="1" applyFont="1" applyFill="1" applyBorder="1" applyAlignment="1">
      <alignment horizontal="right" vertical="center"/>
    </xf>
    <xf numFmtId="3" fontId="12" fillId="0" borderId="20" xfId="1" applyNumberFormat="1" applyFont="1" applyFill="1" applyBorder="1" applyAlignment="1">
      <alignment horizontal="right" vertical="center"/>
    </xf>
    <xf numFmtId="3" fontId="1" fillId="0" borderId="0" xfId="1" applyNumberFormat="1" applyFill="1" applyAlignment="1"/>
    <xf numFmtId="49" fontId="12" fillId="0" borderId="0" xfId="0" applyNumberFormat="1" applyFont="1" applyBorder="1"/>
    <xf numFmtId="3" fontId="12" fillId="0" borderId="0" xfId="0" applyNumberFormat="1" applyFont="1" applyBorder="1"/>
    <xf numFmtId="3" fontId="11" fillId="0" borderId="0" xfId="0" applyNumberFormat="1" applyFont="1" applyBorder="1"/>
    <xf numFmtId="3" fontId="12" fillId="0" borderId="18" xfId="0" applyNumberFormat="1" applyFont="1" applyBorder="1"/>
    <xf numFmtId="3" fontId="11" fillId="0" borderId="18" xfId="0" applyNumberFormat="1" applyFont="1" applyBorder="1"/>
    <xf numFmtId="3" fontId="12" fillId="0" borderId="88" xfId="0" applyNumberFormat="1" applyFont="1" applyBorder="1"/>
    <xf numFmtId="3" fontId="11" fillId="0" borderId="88" xfId="0" applyNumberFormat="1" applyFont="1" applyBorder="1"/>
    <xf numFmtId="49" fontId="27" fillId="0" borderId="0" xfId="1" applyNumberFormat="1" applyFont="1" applyBorder="1"/>
    <xf numFmtId="3" fontId="27" fillId="0" borderId="0" xfId="1" applyNumberFormat="1" applyFont="1" applyBorder="1"/>
    <xf numFmtId="3" fontId="28" fillId="0" borderId="0" xfId="1" applyNumberFormat="1" applyFont="1" applyBorder="1"/>
    <xf numFmtId="0" fontId="1" fillId="0" borderId="88" xfId="1" applyBorder="1"/>
    <xf numFmtId="49" fontId="12" fillId="0" borderId="0" xfId="1" applyNumberFormat="1" applyFont="1" applyBorder="1"/>
    <xf numFmtId="3" fontId="12" fillId="0" borderId="1" xfId="1" applyNumberFormat="1" applyFont="1" applyBorder="1"/>
    <xf numFmtId="3" fontId="12" fillId="0" borderId="0" xfId="1" applyNumberFormat="1" applyFont="1" applyBorder="1"/>
    <xf numFmtId="3" fontId="12" fillId="0" borderId="89" xfId="0" applyNumberFormat="1" applyFont="1" applyBorder="1"/>
    <xf numFmtId="3" fontId="11" fillId="0" borderId="89" xfId="0" applyNumberFormat="1" applyFont="1" applyBorder="1"/>
    <xf numFmtId="3" fontId="12" fillId="0" borderId="75" xfId="1" applyNumberFormat="1" applyFont="1" applyBorder="1"/>
    <xf numFmtId="0" fontId="1" fillId="0" borderId="0" xfId="1" applyFont="1" applyAlignment="1" applyProtection="1">
      <alignment horizontal="right" indent="4"/>
      <protection locked="0"/>
    </xf>
    <xf numFmtId="0" fontId="1" fillId="0" borderId="0" xfId="1" applyAlignment="1">
      <alignment horizontal="right"/>
    </xf>
    <xf numFmtId="0" fontId="0" fillId="0" borderId="0" xfId="0" applyAlignment="1">
      <alignment horizontal="right"/>
    </xf>
    <xf numFmtId="0" fontId="11" fillId="0" borderId="0" xfId="0" applyFont="1" applyAlignment="1" applyProtection="1">
      <alignment horizontal="justify" vertical="top" wrapText="1"/>
      <protection locked="0"/>
    </xf>
    <xf numFmtId="0" fontId="2" fillId="6" borderId="46" xfId="1" applyFont="1" applyFill="1" applyBorder="1" applyAlignment="1">
      <alignment horizontal="center"/>
    </xf>
    <xf numFmtId="3" fontId="9" fillId="6" borderId="24" xfId="1" applyNumberFormat="1" applyFont="1" applyFill="1" applyBorder="1" applyAlignment="1">
      <alignment horizontal="center" vertical="top" wrapText="1"/>
    </xf>
    <xf numFmtId="3" fontId="1" fillId="6" borderId="24" xfId="1" applyNumberFormat="1" applyFill="1" applyBorder="1" applyAlignment="1">
      <alignment horizontal="center" vertical="top" wrapText="1"/>
    </xf>
    <xf numFmtId="3" fontId="1" fillId="6" borderId="52" xfId="1" applyNumberFormat="1" applyFill="1" applyBorder="1" applyAlignment="1">
      <alignment horizontal="center" vertical="top" wrapText="1"/>
    </xf>
    <xf numFmtId="0" fontId="10" fillId="6" borderId="10" xfId="1" applyFont="1" applyFill="1" applyBorder="1" applyAlignment="1">
      <alignment horizontal="center"/>
    </xf>
    <xf numFmtId="3" fontId="10" fillId="6" borderId="10" xfId="1" applyNumberFormat="1" applyFont="1" applyFill="1" applyBorder="1" applyAlignment="1">
      <alignment horizontal="center"/>
    </xf>
    <xf numFmtId="3" fontId="10" fillId="6" borderId="12" xfId="1" applyNumberFormat="1" applyFont="1" applyFill="1" applyBorder="1" applyAlignment="1">
      <alignment horizontal="center"/>
    </xf>
    <xf numFmtId="3" fontId="10" fillId="6" borderId="53" xfId="1" applyNumberFormat="1" applyFont="1" applyFill="1" applyBorder="1" applyAlignment="1">
      <alignment horizontal="center"/>
    </xf>
    <xf numFmtId="0" fontId="2" fillId="6" borderId="2" xfId="0" applyFont="1" applyFill="1" applyBorder="1" applyAlignment="1">
      <alignment horizontal="center"/>
    </xf>
    <xf numFmtId="3" fontId="0" fillId="6" borderId="24" xfId="0" applyNumberFormat="1" applyFill="1" applyBorder="1" applyAlignment="1">
      <alignment horizontal="center" wrapText="1"/>
    </xf>
    <xf numFmtId="0" fontId="10" fillId="6" borderId="10" xfId="0" applyFont="1" applyFill="1" applyBorder="1" applyAlignment="1">
      <alignment horizontal="center"/>
    </xf>
    <xf numFmtId="3" fontId="10" fillId="6" borderId="10" xfId="0" applyNumberFormat="1" applyFont="1" applyFill="1" applyBorder="1" applyAlignment="1">
      <alignment horizontal="center"/>
    </xf>
    <xf numFmtId="3" fontId="10" fillId="6" borderId="12" xfId="0" applyNumberFormat="1" applyFont="1" applyFill="1" applyBorder="1" applyAlignment="1">
      <alignment horizontal="center"/>
    </xf>
    <xf numFmtId="3" fontId="10" fillId="6" borderId="13" xfId="0" applyNumberFormat="1" applyFont="1" applyFill="1" applyBorder="1" applyAlignment="1">
      <alignment horizontal="center"/>
    </xf>
    <xf numFmtId="0" fontId="2" fillId="6" borderId="1" xfId="0" applyFont="1" applyFill="1" applyBorder="1" applyAlignment="1">
      <alignment horizontal="center"/>
    </xf>
    <xf numFmtId="49" fontId="2" fillId="6" borderId="3" xfId="0" applyNumberFormat="1" applyFont="1" applyFill="1" applyBorder="1" applyAlignment="1">
      <alignment horizontal="center" vertical="center" wrapText="1"/>
    </xf>
    <xf numFmtId="49" fontId="2" fillId="6" borderId="4" xfId="0" applyNumberFormat="1" applyFont="1" applyFill="1" applyBorder="1" applyAlignment="1">
      <alignment horizontal="center" vertical="center" wrapText="1"/>
    </xf>
    <xf numFmtId="3" fontId="2" fillId="6" borderId="0" xfId="0" applyNumberFormat="1" applyFont="1" applyFill="1" applyAlignment="1">
      <alignment horizontal="center" vertical="center" wrapText="1"/>
    </xf>
    <xf numFmtId="3" fontId="2" fillId="6" borderId="5" xfId="0" applyNumberFormat="1" applyFont="1" applyFill="1" applyBorder="1" applyAlignment="1">
      <alignment horizontal="center" vertical="center" wrapText="1"/>
    </xf>
    <xf numFmtId="3" fontId="2" fillId="6" borderId="3" xfId="0" applyNumberFormat="1" applyFont="1" applyFill="1" applyBorder="1" applyAlignment="1">
      <alignment horizontal="center" vertical="center" wrapText="1"/>
    </xf>
    <xf numFmtId="3" fontId="2" fillId="6" borderId="0"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6" borderId="3" xfId="0" applyFont="1" applyFill="1" applyBorder="1" applyAlignment="1">
      <alignment horizontal="center" vertical="top" wrapText="1"/>
    </xf>
    <xf numFmtId="0" fontId="2" fillId="6" borderId="0" xfId="0" applyFont="1" applyFill="1" applyAlignment="1">
      <alignment horizontal="center" vertical="top" wrapText="1"/>
    </xf>
    <xf numFmtId="3" fontId="2" fillId="6" borderId="3" xfId="0" applyNumberFormat="1" applyFont="1" applyFill="1" applyBorder="1" applyAlignment="1">
      <alignment horizontal="center" vertical="top" wrapText="1"/>
    </xf>
    <xf numFmtId="3" fontId="9" fillId="6" borderId="7" xfId="0" applyNumberFormat="1" applyFont="1" applyFill="1" applyBorder="1" applyAlignment="1">
      <alignment horizontal="center" vertical="top" wrapText="1"/>
    </xf>
    <xf numFmtId="3" fontId="9" fillId="6" borderId="8" xfId="0" applyNumberFormat="1" applyFont="1" applyFill="1" applyBorder="1" applyAlignment="1">
      <alignment horizontal="center" vertical="top" wrapText="1"/>
    </xf>
    <xf numFmtId="49" fontId="2" fillId="6" borderId="9" xfId="0" applyNumberFormat="1" applyFont="1" applyFill="1" applyBorder="1" applyAlignment="1">
      <alignment horizontal="center"/>
    </xf>
    <xf numFmtId="49" fontId="2" fillId="6" borderId="11" xfId="0" applyNumberFormat="1" applyFont="1" applyFill="1" applyBorder="1" applyAlignment="1">
      <alignment horizontal="center"/>
    </xf>
    <xf numFmtId="3" fontId="10" fillId="6" borderId="12" xfId="0" applyNumberFormat="1" applyFont="1" applyFill="1" applyBorder="1" applyAlignment="1">
      <alignment horizontal="center" shrinkToFit="1"/>
    </xf>
    <xf numFmtId="0" fontId="2" fillId="6" borderId="15" xfId="0" applyFont="1" applyFill="1" applyBorder="1" applyAlignment="1">
      <alignment horizontal="center"/>
    </xf>
    <xf numFmtId="0" fontId="2" fillId="6" borderId="14" xfId="0" applyFont="1" applyFill="1" applyBorder="1" applyAlignment="1">
      <alignment horizontal="center"/>
    </xf>
    <xf numFmtId="3" fontId="2" fillId="6" borderId="15" xfId="0" applyNumberFormat="1" applyFont="1" applyFill="1" applyBorder="1" applyAlignment="1">
      <alignment horizontal="center"/>
    </xf>
    <xf numFmtId="0" fontId="2" fillId="6" borderId="2" xfId="1" applyFont="1" applyFill="1" applyBorder="1" applyAlignment="1">
      <alignment horizontal="center"/>
    </xf>
    <xf numFmtId="3" fontId="1" fillId="6" borderId="24" xfId="1" applyNumberFormat="1" applyFill="1" applyBorder="1" applyAlignment="1">
      <alignment horizontal="center" wrapText="1"/>
    </xf>
    <xf numFmtId="3" fontId="9" fillId="6" borderId="24" xfId="1" applyNumberFormat="1" applyFont="1" applyFill="1" applyBorder="1" applyAlignment="1">
      <alignment horizontal="center" wrapText="1"/>
    </xf>
    <xf numFmtId="3" fontId="9" fillId="6" borderId="23" xfId="1" applyNumberFormat="1" applyFont="1" applyFill="1" applyBorder="1" applyAlignment="1">
      <alignment horizontal="center" wrapText="1"/>
    </xf>
    <xf numFmtId="3" fontId="10" fillId="6" borderId="13" xfId="1" applyNumberFormat="1" applyFont="1" applyFill="1" applyBorder="1" applyAlignment="1">
      <alignment horizontal="center"/>
    </xf>
    <xf numFmtId="0" fontId="2" fillId="6" borderId="1" xfId="1" applyFont="1" applyFill="1" applyBorder="1" applyAlignment="1">
      <alignment horizontal="center"/>
    </xf>
    <xf numFmtId="49" fontId="2" fillId="6" borderId="3" xfId="1" applyNumberFormat="1" applyFont="1" applyFill="1" applyBorder="1" applyAlignment="1">
      <alignment horizontal="center" vertical="center" wrapText="1"/>
    </xf>
    <xf numFmtId="49" fontId="2" fillId="6" borderId="4" xfId="1" applyNumberFormat="1" applyFont="1" applyFill="1" applyBorder="1" applyAlignment="1">
      <alignment horizontal="center" vertical="center" wrapText="1"/>
    </xf>
    <xf numFmtId="3" fontId="2" fillId="6" borderId="0" xfId="1" applyNumberFormat="1" applyFont="1" applyFill="1" applyAlignment="1">
      <alignment horizontal="center" vertical="center" wrapText="1"/>
    </xf>
    <xf numFmtId="3" fontId="2" fillId="6" borderId="5" xfId="1" applyNumberFormat="1" applyFont="1" applyFill="1" applyBorder="1" applyAlignment="1">
      <alignment horizontal="center" vertical="center" wrapText="1"/>
    </xf>
    <xf numFmtId="3" fontId="2" fillId="6" borderId="3" xfId="1" applyNumberFormat="1" applyFont="1" applyFill="1" applyBorder="1" applyAlignment="1">
      <alignment horizontal="center" vertical="center" wrapText="1"/>
    </xf>
    <xf numFmtId="3" fontId="2" fillId="6" borderId="0" xfId="1" applyNumberFormat="1" applyFont="1" applyFill="1" applyBorder="1" applyAlignment="1">
      <alignment horizontal="center" vertical="center" wrapText="1"/>
    </xf>
    <xf numFmtId="3" fontId="2" fillId="6" borderId="6" xfId="1" applyNumberFormat="1" applyFont="1" applyFill="1" applyBorder="1" applyAlignment="1">
      <alignment horizontal="center" vertical="center" wrapText="1"/>
    </xf>
    <xf numFmtId="0" fontId="2" fillId="6" borderId="3" xfId="1" applyFont="1" applyFill="1" applyBorder="1" applyAlignment="1">
      <alignment horizontal="center" vertical="top" wrapText="1"/>
    </xf>
    <xf numFmtId="0" fontId="2" fillId="6" borderId="0" xfId="1" applyFont="1" applyFill="1" applyAlignment="1">
      <alignment horizontal="center" vertical="top" wrapText="1"/>
    </xf>
    <xf numFmtId="3" fontId="2" fillId="6" borderId="3" xfId="1" applyNumberFormat="1" applyFont="1" applyFill="1" applyBorder="1" applyAlignment="1">
      <alignment horizontal="center" vertical="top" wrapText="1"/>
    </xf>
    <xf numFmtId="3" fontId="9" fillId="6" borderId="7" xfId="1" applyNumberFormat="1" applyFont="1" applyFill="1" applyBorder="1" applyAlignment="1">
      <alignment horizontal="center" vertical="top" wrapText="1"/>
    </xf>
    <xf numFmtId="3" fontId="9" fillId="6" borderId="8" xfId="1" applyNumberFormat="1" applyFont="1" applyFill="1" applyBorder="1" applyAlignment="1">
      <alignment horizontal="center" vertical="top" wrapText="1"/>
    </xf>
    <xf numFmtId="49" fontId="2" fillId="6" borderId="9" xfId="1" applyNumberFormat="1" applyFont="1" applyFill="1" applyBorder="1" applyAlignment="1">
      <alignment horizontal="center"/>
    </xf>
    <xf numFmtId="49" fontId="2" fillId="6" borderId="11" xfId="1" applyNumberFormat="1" applyFont="1" applyFill="1" applyBorder="1" applyAlignment="1">
      <alignment horizontal="center"/>
    </xf>
    <xf numFmtId="0" fontId="2" fillId="6" borderId="15" xfId="1" applyFont="1" applyFill="1" applyBorder="1" applyAlignment="1">
      <alignment horizontal="center"/>
    </xf>
    <xf numFmtId="0" fontId="2" fillId="6" borderId="14" xfId="1" applyFont="1" applyFill="1" applyBorder="1" applyAlignment="1">
      <alignment horizontal="center"/>
    </xf>
    <xf numFmtId="3" fontId="2" fillId="6" borderId="15" xfId="1" applyNumberFormat="1" applyFont="1" applyFill="1" applyBorder="1" applyAlignment="1">
      <alignment horizontal="center"/>
    </xf>
    <xf numFmtId="3" fontId="9" fillId="6" borderId="24" xfId="0" applyNumberFormat="1" applyFont="1" applyFill="1" applyBorder="1" applyAlignment="1">
      <alignment horizontal="center" wrapText="1"/>
    </xf>
    <xf numFmtId="3" fontId="9" fillId="6" borderId="23" xfId="0" applyNumberFormat="1" applyFont="1" applyFill="1" applyBorder="1" applyAlignment="1">
      <alignment horizontal="center" wrapText="1"/>
    </xf>
    <xf numFmtId="0" fontId="1" fillId="6" borderId="0" xfId="1" applyFill="1"/>
    <xf numFmtId="3" fontId="2" fillId="6" borderId="18" xfId="0" applyNumberFormat="1" applyFont="1" applyFill="1" applyBorder="1" applyAlignment="1">
      <alignment horizontal="center"/>
    </xf>
    <xf numFmtId="3" fontId="2" fillId="6" borderId="19" xfId="0" applyNumberFormat="1" applyFont="1" applyFill="1" applyBorder="1" applyAlignment="1">
      <alignment horizontal="center"/>
    </xf>
    <xf numFmtId="3" fontId="9" fillId="6" borderId="28" xfId="0" applyNumberFormat="1" applyFont="1" applyFill="1" applyBorder="1" applyAlignment="1">
      <alignment horizontal="center" vertical="top" wrapText="1"/>
    </xf>
    <xf numFmtId="3" fontId="9" fillId="6" borderId="27" xfId="0" applyNumberFormat="1" applyFont="1" applyFill="1" applyBorder="1" applyAlignment="1">
      <alignment horizontal="center" vertical="top" wrapText="1"/>
    </xf>
    <xf numFmtId="3" fontId="10" fillId="6" borderId="26" xfId="0" applyNumberFormat="1" applyFont="1" applyFill="1" applyBorder="1" applyAlignment="1">
      <alignment horizontal="center"/>
    </xf>
    <xf numFmtId="3" fontId="10" fillId="6" borderId="25" xfId="0" applyNumberFormat="1" applyFont="1" applyFill="1" applyBorder="1" applyAlignment="1">
      <alignment horizontal="center"/>
    </xf>
    <xf numFmtId="3" fontId="2" fillId="6" borderId="21" xfId="0" applyNumberFormat="1" applyFont="1" applyFill="1" applyBorder="1" applyAlignment="1">
      <alignment horizontal="center"/>
    </xf>
    <xf numFmtId="3" fontId="2" fillId="6" borderId="20" xfId="0" applyNumberFormat="1" applyFont="1" applyFill="1" applyBorder="1" applyAlignment="1">
      <alignment horizontal="center"/>
    </xf>
    <xf numFmtId="3" fontId="2" fillId="6" borderId="16" xfId="0" applyNumberFormat="1" applyFont="1" applyFill="1" applyBorder="1" applyAlignment="1">
      <alignment horizontal="center"/>
    </xf>
    <xf numFmtId="3" fontId="2" fillId="6" borderId="19" xfId="1" applyNumberFormat="1" applyFont="1" applyFill="1" applyBorder="1" applyAlignment="1">
      <alignment horizontal="center"/>
    </xf>
    <xf numFmtId="3" fontId="10" fillId="6" borderId="12" xfId="1" applyNumberFormat="1" applyFont="1" applyFill="1" applyBorder="1" applyAlignment="1">
      <alignment horizontal="center" shrinkToFit="1"/>
    </xf>
    <xf numFmtId="3" fontId="2" fillId="6" borderId="16" xfId="1" applyNumberFormat="1" applyFont="1" applyFill="1" applyBorder="1" applyAlignment="1">
      <alignment horizontal="center"/>
    </xf>
    <xf numFmtId="3" fontId="2" fillId="6" borderId="22" xfId="1" applyNumberFormat="1" applyFont="1" applyFill="1" applyBorder="1" applyAlignment="1">
      <alignment horizontal="center"/>
    </xf>
    <xf numFmtId="4" fontId="11" fillId="0" borderId="30" xfId="1" applyNumberFormat="1" applyFont="1" applyBorder="1"/>
    <xf numFmtId="4" fontId="11" fillId="0" borderId="5" xfId="1" applyNumberFormat="1" applyFont="1" applyBorder="1"/>
    <xf numFmtId="49" fontId="2" fillId="0" borderId="0" xfId="1" applyNumberFormat="1" applyFont="1" applyFill="1" applyAlignment="1">
      <alignment horizontal="right"/>
    </xf>
    <xf numFmtId="0" fontId="2" fillId="0" borderId="0" xfId="1" applyFont="1" applyFill="1" applyAlignment="1">
      <alignment horizontal="right"/>
    </xf>
    <xf numFmtId="0" fontId="1" fillId="0" borderId="0" xfId="1" applyFill="1" applyAlignment="1">
      <alignment horizontal="right"/>
    </xf>
    <xf numFmtId="0" fontId="2" fillId="0" borderId="0" xfId="1" applyFont="1" applyFill="1" applyBorder="1" applyAlignment="1">
      <alignment horizontal="center" vertical="top"/>
    </xf>
    <xf numFmtId="0" fontId="1" fillId="0" borderId="0" xfId="1" applyFill="1" applyBorder="1" applyAlignment="1">
      <alignment horizontal="left"/>
    </xf>
    <xf numFmtId="3" fontId="1" fillId="0" borderId="0" xfId="1" applyNumberFormat="1" applyFill="1" applyBorder="1" applyAlignment="1">
      <alignment horizontal="center" vertical="top" wrapText="1"/>
    </xf>
    <xf numFmtId="3" fontId="10" fillId="0" borderId="0" xfId="1" applyNumberFormat="1" applyFont="1" applyFill="1" applyBorder="1" applyAlignment="1">
      <alignment horizontal="center"/>
    </xf>
    <xf numFmtId="3" fontId="28" fillId="0" borderId="0" xfId="1" applyNumberFormat="1" applyFont="1" applyFill="1" applyBorder="1"/>
    <xf numFmtId="0" fontId="39" fillId="0" borderId="88" xfId="1" applyFont="1" applyFill="1" applyBorder="1"/>
    <xf numFmtId="4" fontId="12" fillId="0" borderId="30" xfId="1" applyNumberFormat="1" applyFont="1" applyBorder="1"/>
    <xf numFmtId="4" fontId="27" fillId="0" borderId="10" xfId="1" applyNumberFormat="1" applyFont="1" applyBorder="1"/>
    <xf numFmtId="3" fontId="10" fillId="6" borderId="63" xfId="1" applyNumberFormat="1" applyFont="1" applyFill="1" applyBorder="1" applyAlignment="1">
      <alignment horizontal="center"/>
    </xf>
    <xf numFmtId="4" fontId="12" fillId="0" borderId="72" xfId="1" applyNumberFormat="1" applyFont="1" applyBorder="1"/>
    <xf numFmtId="4" fontId="11" fillId="0" borderId="54" xfId="1" applyNumberFormat="1" applyFont="1" applyBorder="1"/>
    <xf numFmtId="4" fontId="11" fillId="0" borderId="55" xfId="1" applyNumberFormat="1" applyFont="1" applyBorder="1"/>
    <xf numFmtId="4" fontId="12" fillId="0" borderId="73" xfId="1" applyNumberFormat="1" applyFont="1" applyBorder="1"/>
    <xf numFmtId="4" fontId="11" fillId="0" borderId="15" xfId="0" applyNumberFormat="1" applyFont="1" applyBorder="1" applyAlignment="1">
      <alignment horizontal="right" vertical="center"/>
    </xf>
    <xf numFmtId="4" fontId="11" fillId="0" borderId="90" xfId="0" applyNumberFormat="1" applyFont="1" applyBorder="1" applyAlignment="1">
      <alignment horizontal="right" vertical="center"/>
    </xf>
    <xf numFmtId="4" fontId="11" fillId="0" borderId="21" xfId="0" applyNumberFormat="1" applyFont="1" applyBorder="1" applyAlignment="1">
      <alignment horizontal="right" vertical="center"/>
    </xf>
    <xf numFmtId="4" fontId="11" fillId="0" borderId="16" xfId="0" applyNumberFormat="1" applyFont="1" applyBorder="1" applyAlignment="1">
      <alignment horizontal="right" vertical="center"/>
    </xf>
    <xf numFmtId="4" fontId="11" fillId="0" borderId="91" xfId="0" applyNumberFormat="1" applyFont="1" applyBorder="1" applyAlignment="1">
      <alignment horizontal="right" vertical="center"/>
    </xf>
    <xf numFmtId="4" fontId="12" fillId="0" borderId="15" xfId="0" applyNumberFormat="1" applyFont="1" applyBorder="1" applyAlignment="1">
      <alignment horizontal="right" vertical="center"/>
    </xf>
    <xf numFmtId="4" fontId="12" fillId="0" borderId="21" xfId="0" applyNumberFormat="1" applyFont="1" applyBorder="1" applyAlignment="1">
      <alignment horizontal="right" vertical="center"/>
    </xf>
    <xf numFmtId="4" fontId="12" fillId="0" borderId="91" xfId="0" applyNumberFormat="1" applyFont="1" applyBorder="1" applyAlignment="1">
      <alignment horizontal="right" vertical="center"/>
    </xf>
    <xf numFmtId="4" fontId="12" fillId="0" borderId="16" xfId="0" applyNumberFormat="1" applyFont="1" applyBorder="1" applyAlignment="1">
      <alignment horizontal="right" vertical="center"/>
    </xf>
    <xf numFmtId="4" fontId="12" fillId="0" borderId="2" xfId="1" applyNumberFormat="1" applyFont="1" applyBorder="1"/>
    <xf numFmtId="4" fontId="27" fillId="0" borderId="3" xfId="1" applyNumberFormat="1" applyFont="1" applyBorder="1"/>
    <xf numFmtId="4" fontId="28" fillId="0" borderId="5" xfId="1" applyNumberFormat="1" applyFont="1" applyBorder="1"/>
    <xf numFmtId="4" fontId="12" fillId="0" borderId="58" xfId="1" applyNumberFormat="1" applyFont="1" applyBorder="1"/>
    <xf numFmtId="4" fontId="27" fillId="0" borderId="50" xfId="1" applyNumberFormat="1" applyFont="1" applyBorder="1"/>
    <xf numFmtId="4" fontId="28" fillId="0" borderId="55" xfId="1" applyNumberFormat="1" applyFont="1" applyBorder="1"/>
    <xf numFmtId="4" fontId="11" fillId="0" borderId="50" xfId="1" applyNumberFormat="1" applyFont="1" applyBorder="1"/>
    <xf numFmtId="4" fontId="12" fillId="0" borderId="74" xfId="1" applyNumberFormat="1" applyFont="1" applyBorder="1"/>
    <xf numFmtId="4" fontId="12" fillId="0" borderId="90" xfId="0" applyNumberFormat="1" applyFont="1" applyBorder="1" applyAlignment="1">
      <alignment horizontal="right" vertical="center"/>
    </xf>
    <xf numFmtId="4" fontId="11" fillId="0" borderId="14" xfId="0" applyNumberFormat="1" applyFont="1" applyBorder="1" applyAlignment="1">
      <alignment horizontal="right" vertical="center"/>
    </xf>
    <xf numFmtId="4" fontId="12" fillId="0" borderId="41" xfId="0" applyNumberFormat="1" applyFont="1" applyBorder="1" applyAlignment="1">
      <alignment horizontal="right" vertical="center" wrapText="1"/>
    </xf>
    <xf numFmtId="4" fontId="12" fillId="0" borderId="40" xfId="0" applyNumberFormat="1" applyFont="1" applyBorder="1" applyAlignment="1">
      <alignment horizontal="right" vertical="center" wrapText="1"/>
    </xf>
    <xf numFmtId="4" fontId="12" fillId="0" borderId="14" xfId="0" applyNumberFormat="1" applyFont="1" applyBorder="1" applyAlignment="1">
      <alignment horizontal="right" vertical="center"/>
    </xf>
    <xf numFmtId="4" fontId="12" fillId="0" borderId="15" xfId="0" applyNumberFormat="1" applyFont="1" applyFill="1" applyBorder="1" applyAlignment="1">
      <alignment horizontal="right" vertical="center"/>
    </xf>
    <xf numFmtId="4" fontId="12" fillId="0" borderId="41" xfId="0" applyNumberFormat="1" applyFont="1" applyFill="1" applyBorder="1" applyAlignment="1">
      <alignment horizontal="right" vertical="center" wrapText="1"/>
    </xf>
    <xf numFmtId="4" fontId="12" fillId="0" borderId="40" xfId="0" applyNumberFormat="1" applyFont="1" applyFill="1" applyBorder="1" applyAlignment="1">
      <alignment horizontal="right" vertical="center" wrapText="1"/>
    </xf>
    <xf numFmtId="4" fontId="12" fillId="0" borderId="14" xfId="0" applyNumberFormat="1" applyFont="1" applyFill="1" applyBorder="1" applyAlignment="1">
      <alignment horizontal="right" vertical="center"/>
    </xf>
    <xf numFmtId="4" fontId="12" fillId="0" borderId="16" xfId="0" applyNumberFormat="1" applyFont="1" applyFill="1" applyBorder="1" applyAlignment="1">
      <alignment horizontal="right" vertical="center"/>
    </xf>
    <xf numFmtId="4" fontId="12" fillId="0" borderId="14" xfId="0" applyNumberFormat="1" applyFont="1" applyBorder="1" applyAlignment="1">
      <alignment horizontal="right" vertical="center" shrinkToFit="1"/>
    </xf>
    <xf numFmtId="4" fontId="12" fillId="0" borderId="37" xfId="0" applyNumberFormat="1" applyFont="1" applyBorder="1" applyAlignment="1">
      <alignment horizontal="right" vertical="center" wrapText="1"/>
    </xf>
    <xf numFmtId="4" fontId="12" fillId="0" borderId="31" xfId="1" applyNumberFormat="1" applyFont="1" applyBorder="1"/>
    <xf numFmtId="4" fontId="1" fillId="0" borderId="3" xfId="1" applyNumberFormat="1" applyBorder="1"/>
    <xf numFmtId="4" fontId="1" fillId="0" borderId="5" xfId="1" applyNumberFormat="1" applyBorder="1"/>
    <xf numFmtId="4" fontId="1" fillId="0" borderId="22" xfId="1" applyNumberFormat="1" applyBorder="1"/>
    <xf numFmtId="4" fontId="10" fillId="0" borderId="3" xfId="1" applyNumberFormat="1" applyFont="1" applyBorder="1"/>
    <xf numFmtId="4" fontId="9" fillId="0" borderId="3" xfId="1" applyNumberFormat="1" applyFont="1" applyBorder="1"/>
    <xf numFmtId="4" fontId="12" fillId="0" borderId="3" xfId="1" applyNumberFormat="1" applyFont="1" applyBorder="1"/>
    <xf numFmtId="4" fontId="12" fillId="0" borderId="5" xfId="1" applyNumberFormat="1" applyFont="1" applyBorder="1"/>
    <xf numFmtId="4" fontId="12" fillId="0" borderId="22" xfId="1" applyNumberFormat="1" applyFont="1" applyBorder="1"/>
    <xf numFmtId="4" fontId="27" fillId="0" borderId="26" xfId="1" applyNumberFormat="1" applyFont="1" applyBorder="1"/>
    <xf numFmtId="4" fontId="27" fillId="0" borderId="29" xfId="1" applyNumberFormat="1" applyFont="1" applyBorder="1"/>
    <xf numFmtId="4" fontId="26" fillId="0" borderId="5" xfId="1" applyNumberFormat="1" applyFont="1" applyBorder="1"/>
    <xf numFmtId="4" fontId="26" fillId="0" borderId="22" xfId="1" applyNumberFormat="1" applyFont="1" applyBorder="1"/>
    <xf numFmtId="4" fontId="12" fillId="0" borderId="15" xfId="1" applyNumberFormat="1" applyFont="1" applyBorder="1"/>
    <xf numFmtId="4" fontId="11" fillId="0" borderId="14" xfId="1" applyNumberFormat="1" applyFont="1" applyBorder="1"/>
    <xf numFmtId="4" fontId="11" fillId="0" borderId="16" xfId="1" applyNumberFormat="1" applyFont="1" applyBorder="1"/>
    <xf numFmtId="4" fontId="2" fillId="0" borderId="30" xfId="1" applyNumberFormat="1" applyFont="1" applyBorder="1"/>
    <xf numFmtId="4" fontId="2" fillId="0" borderId="31" xfId="1" applyNumberFormat="1" applyFont="1" applyBorder="1"/>
    <xf numFmtId="4" fontId="10" fillId="0" borderId="5" xfId="1" applyNumberFormat="1" applyFont="1" applyBorder="1"/>
    <xf numFmtId="4" fontId="28" fillId="0" borderId="12" xfId="1" applyNumberFormat="1" applyFont="1" applyBorder="1"/>
    <xf numFmtId="4" fontId="28" fillId="0" borderId="13" xfId="1" applyNumberFormat="1" applyFont="1" applyBorder="1"/>
    <xf numFmtId="4" fontId="7" fillId="0" borderId="15" xfId="1" applyNumberFormat="1" applyFont="1" applyBorder="1"/>
    <xf numFmtId="4" fontId="7" fillId="0" borderId="14" xfId="1" applyNumberFormat="1" applyFont="1" applyBorder="1"/>
    <xf numFmtId="4" fontId="7" fillId="0" borderId="16" xfId="1" applyNumberFormat="1" applyFont="1" applyBorder="1"/>
    <xf numFmtId="4" fontId="10" fillId="0" borderId="22" xfId="1" applyNumberFormat="1" applyFont="1" applyBorder="1"/>
    <xf numFmtId="4" fontId="10" fillId="0" borderId="3" xfId="0" applyNumberFormat="1" applyFont="1" applyBorder="1"/>
    <xf numFmtId="4" fontId="10" fillId="0" borderId="5" xfId="0" applyNumberFormat="1" applyFont="1" applyBorder="1"/>
    <xf numFmtId="4" fontId="10" fillId="0" borderId="22" xfId="0" applyNumberFormat="1" applyFont="1" applyBorder="1"/>
    <xf numFmtId="4" fontId="27" fillId="0" borderId="10" xfId="0" applyNumberFormat="1" applyFont="1" applyBorder="1"/>
    <xf numFmtId="4" fontId="28" fillId="0" borderId="12" xfId="0" applyNumberFormat="1" applyFont="1" applyBorder="1"/>
    <xf numFmtId="4" fontId="28" fillId="0" borderId="13" xfId="0" applyNumberFormat="1" applyFont="1" applyBorder="1"/>
    <xf numFmtId="0" fontId="1" fillId="0" borderId="0" xfId="1" applyFont="1" applyAlignment="1">
      <alignment vertical="justify" wrapText="1"/>
    </xf>
    <xf numFmtId="4" fontId="12" fillId="0" borderId="15" xfId="0" applyNumberFormat="1" applyFont="1" applyBorder="1"/>
    <xf numFmtId="4" fontId="12" fillId="0" borderId="14" xfId="0" applyNumberFormat="1" applyFont="1" applyBorder="1"/>
    <xf numFmtId="4" fontId="12" fillId="0" borderId="16" xfId="0" applyNumberFormat="1" applyFont="1" applyBorder="1"/>
    <xf numFmtId="4" fontId="0" fillId="0" borderId="3" xfId="0" applyNumberFormat="1" applyBorder="1"/>
    <xf numFmtId="4" fontId="0" fillId="0" borderId="5" xfId="0" applyNumberFormat="1" applyBorder="1"/>
    <xf numFmtId="4" fontId="0" fillId="0" borderId="22" xfId="0" applyNumberFormat="1" applyBorder="1"/>
    <xf numFmtId="4" fontId="27" fillId="0" borderId="3" xfId="0" applyNumberFormat="1" applyFont="1" applyBorder="1"/>
    <xf numFmtId="4" fontId="28" fillId="0" borderId="5" xfId="0" applyNumberFormat="1" applyFont="1" applyBorder="1"/>
    <xf numFmtId="4" fontId="28" fillId="0" borderId="22" xfId="0" applyNumberFormat="1" applyFont="1" applyBorder="1"/>
    <xf numFmtId="4" fontId="11" fillId="0" borderId="14" xfId="0" applyNumberFormat="1" applyFont="1" applyBorder="1"/>
    <xf numFmtId="4" fontId="11" fillId="0" borderId="16" xfId="0" applyNumberFormat="1" applyFont="1" applyBorder="1"/>
    <xf numFmtId="0" fontId="1" fillId="0" borderId="0" xfId="1" applyAlignment="1">
      <alignment horizontal="right"/>
    </xf>
    <xf numFmtId="0" fontId="2" fillId="6" borderId="69" xfId="1" applyFont="1" applyFill="1" applyBorder="1" applyAlignment="1">
      <alignment horizontal="center" vertical="top"/>
    </xf>
    <xf numFmtId="0" fontId="2" fillId="6" borderId="48" xfId="1" applyFont="1" applyFill="1" applyBorder="1" applyAlignment="1">
      <alignment horizontal="center" vertical="top"/>
    </xf>
    <xf numFmtId="0" fontId="2" fillId="6" borderId="49" xfId="1" applyFont="1" applyFill="1" applyBorder="1" applyAlignment="1">
      <alignment horizontal="center" vertical="top"/>
    </xf>
    <xf numFmtId="3" fontId="13" fillId="6" borderId="70" xfId="1" applyNumberFormat="1" applyFont="1" applyFill="1" applyBorder="1" applyAlignment="1">
      <alignment horizontal="center" vertical="center" wrapText="1"/>
    </xf>
    <xf numFmtId="3" fontId="13" fillId="6" borderId="71" xfId="1" applyNumberFormat="1" applyFont="1" applyFill="1" applyBorder="1" applyAlignment="1">
      <alignment horizontal="center" vertical="center" wrapText="1"/>
    </xf>
    <xf numFmtId="0" fontId="1" fillId="6" borderId="32" xfId="1" applyFill="1" applyBorder="1" applyAlignment="1">
      <alignment horizontal="left"/>
    </xf>
    <xf numFmtId="0" fontId="1" fillId="6" borderId="51" xfId="1" applyFill="1" applyBorder="1" applyAlignment="1">
      <alignment horizontal="left"/>
    </xf>
    <xf numFmtId="49" fontId="2" fillId="6" borderId="3" xfId="1" applyNumberFormat="1" applyFont="1" applyFill="1" applyBorder="1" applyAlignment="1">
      <alignment horizontal="left" vertical="center"/>
    </xf>
    <xf numFmtId="49" fontId="2" fillId="6" borderId="35" xfId="1" applyNumberFormat="1" applyFont="1" applyFill="1" applyBorder="1" applyAlignment="1">
      <alignment horizontal="left" vertical="center"/>
    </xf>
    <xf numFmtId="3" fontId="12" fillId="6" borderId="36" xfId="1" applyNumberFormat="1" applyFont="1" applyFill="1" applyBorder="1" applyAlignment="1">
      <alignment horizontal="center" vertical="center" wrapText="1"/>
    </xf>
    <xf numFmtId="3" fontId="12" fillId="6" borderId="35" xfId="1" applyNumberFormat="1" applyFont="1" applyFill="1" applyBorder="1" applyAlignment="1">
      <alignment horizontal="center" vertical="center" wrapText="1"/>
    </xf>
    <xf numFmtId="3" fontId="13" fillId="6" borderId="36" xfId="1" applyNumberFormat="1" applyFont="1" applyFill="1" applyBorder="1" applyAlignment="1">
      <alignment horizontal="center" vertical="center" wrapText="1"/>
    </xf>
    <xf numFmtId="3" fontId="13" fillId="6" borderId="35" xfId="1" applyNumberFormat="1" applyFont="1" applyFill="1" applyBorder="1" applyAlignment="1">
      <alignment horizontal="center" vertical="center" wrapText="1"/>
    </xf>
    <xf numFmtId="0" fontId="2" fillId="0" borderId="69" xfId="1" applyFont="1" applyBorder="1" applyAlignment="1">
      <alignment horizontal="center" vertical="justify"/>
    </xf>
    <xf numFmtId="0" fontId="0" fillId="0" borderId="48" xfId="0" applyBorder="1" applyAlignment="1">
      <alignment horizontal="center" vertical="justify"/>
    </xf>
    <xf numFmtId="0" fontId="0" fillId="0" borderId="49" xfId="0" applyBorder="1" applyAlignment="1">
      <alignment horizontal="center" vertical="justify"/>
    </xf>
    <xf numFmtId="3" fontId="12" fillId="0" borderId="70" xfId="1" applyNumberFormat="1" applyFont="1" applyBorder="1" applyAlignment="1">
      <alignment horizontal="center" vertical="center" wrapText="1"/>
    </xf>
    <xf numFmtId="3" fontId="12" fillId="0" borderId="71" xfId="1" applyNumberFormat="1" applyFont="1" applyBorder="1" applyAlignment="1">
      <alignment horizontal="center" vertical="center" wrapText="1"/>
    </xf>
    <xf numFmtId="0" fontId="1" fillId="0" borderId="32" xfId="1" applyBorder="1" applyAlignment="1">
      <alignment horizontal="left"/>
    </xf>
    <xf numFmtId="0" fontId="1" fillId="0" borderId="51" xfId="1" applyBorder="1" applyAlignment="1">
      <alignment horizontal="left"/>
    </xf>
    <xf numFmtId="0" fontId="1" fillId="6" borderId="33" xfId="1" applyFill="1" applyBorder="1" applyAlignment="1">
      <alignment horizontal="left"/>
    </xf>
    <xf numFmtId="0" fontId="2" fillId="0" borderId="47" xfId="1" applyFont="1" applyBorder="1" applyAlignment="1">
      <alignment horizontal="center" wrapText="1" shrinkToFit="1"/>
    </xf>
    <xf numFmtId="0" fontId="2" fillId="0" borderId="48" xfId="1" applyFont="1" applyBorder="1" applyAlignment="1">
      <alignment horizontal="center" wrapText="1" shrinkToFit="1"/>
    </xf>
    <xf numFmtId="0" fontId="2" fillId="0" borderId="49" xfId="1" applyFont="1" applyBorder="1" applyAlignment="1">
      <alignment horizontal="center" wrapText="1" shrinkToFit="1"/>
    </xf>
    <xf numFmtId="3" fontId="12" fillId="0" borderId="36" xfId="1" applyNumberFormat="1" applyFont="1" applyBorder="1" applyAlignment="1">
      <alignment horizontal="center" vertical="center" wrapText="1"/>
    </xf>
    <xf numFmtId="3" fontId="12" fillId="0" borderId="35" xfId="1" applyNumberFormat="1" applyFont="1" applyBorder="1" applyAlignment="1">
      <alignment horizontal="center" vertical="center" wrapText="1"/>
    </xf>
    <xf numFmtId="0" fontId="2" fillId="0" borderId="69" xfId="1" applyFont="1" applyBorder="1" applyAlignment="1">
      <alignment horizontal="center" wrapText="1" shrinkToFit="1"/>
    </xf>
    <xf numFmtId="0" fontId="1" fillId="0" borderId="33" xfId="1" applyBorder="1" applyAlignment="1">
      <alignment horizontal="left"/>
    </xf>
    <xf numFmtId="0" fontId="2" fillId="0" borderId="0" xfId="0" applyFont="1" applyAlignment="1">
      <alignment horizontal="center" vertical="top" wrapText="1"/>
    </xf>
    <xf numFmtId="0" fontId="2" fillId="6" borderId="47" xfId="1" applyFont="1" applyFill="1" applyBorder="1" applyAlignment="1">
      <alignment horizontal="center" vertical="top"/>
    </xf>
    <xf numFmtId="0" fontId="2" fillId="6" borderId="81" xfId="1" applyFont="1" applyFill="1" applyBorder="1" applyAlignment="1">
      <alignment horizontal="center" vertical="top"/>
    </xf>
    <xf numFmtId="0" fontId="9" fillId="0" borderId="0" xfId="0" applyFont="1" applyAlignment="1">
      <alignment horizontal="center" wrapText="1" shrinkToFit="1"/>
    </xf>
    <xf numFmtId="0" fontId="1" fillId="0" borderId="0" xfId="0" applyFont="1" applyAlignment="1" applyProtection="1">
      <alignment horizontal="center" vertical="top" wrapText="1" shrinkToFit="1"/>
      <protection hidden="1"/>
    </xf>
    <xf numFmtId="0" fontId="0" fillId="0" borderId="0" xfId="0" applyAlignment="1">
      <alignment vertical="top" wrapText="1"/>
    </xf>
    <xf numFmtId="0" fontId="2" fillId="6" borderId="37" xfId="1" applyFont="1" applyFill="1" applyBorder="1" applyAlignment="1">
      <alignment horizontal="center"/>
    </xf>
    <xf numFmtId="0" fontId="2" fillId="6" borderId="18" xfId="1" applyFont="1" applyFill="1" applyBorder="1" applyAlignment="1">
      <alignment horizontal="center"/>
    </xf>
    <xf numFmtId="0" fontId="2" fillId="6" borderId="19" xfId="1" applyFont="1" applyFill="1" applyBorder="1" applyAlignment="1">
      <alignment horizontal="center"/>
    </xf>
    <xf numFmtId="0" fontId="1" fillId="6" borderId="34" xfId="1" applyFill="1" applyBorder="1" applyAlignment="1">
      <alignment horizontal="left"/>
    </xf>
    <xf numFmtId="0" fontId="1" fillId="0" borderId="0" xfId="1" applyFont="1" applyAlignment="1" applyProtection="1">
      <alignment horizontal="justify" vertical="justify"/>
      <protection locked="0"/>
    </xf>
    <xf numFmtId="0" fontId="0" fillId="0" borderId="0" xfId="0" applyAlignment="1">
      <alignment horizontal="justify" vertical="justify"/>
    </xf>
    <xf numFmtId="0" fontId="0" fillId="0" borderId="0" xfId="0" applyAlignment="1"/>
    <xf numFmtId="0" fontId="1" fillId="0" borderId="0" xfId="1" applyFont="1" applyAlignment="1" applyProtection="1">
      <alignment horizontal="justify" vertical="justify" wrapText="1"/>
      <protection locked="0"/>
    </xf>
    <xf numFmtId="0" fontId="1" fillId="0" borderId="0" xfId="1" applyAlignment="1">
      <alignment wrapText="1"/>
    </xf>
    <xf numFmtId="0" fontId="0" fillId="0" borderId="0" xfId="0" applyAlignment="1">
      <alignment wrapText="1"/>
    </xf>
    <xf numFmtId="0" fontId="0" fillId="6" borderId="32" xfId="0" applyFill="1" applyBorder="1" applyAlignment="1">
      <alignment horizontal="left"/>
    </xf>
    <xf numFmtId="0" fontId="0" fillId="6" borderId="34" xfId="0" applyFill="1" applyBorder="1" applyAlignment="1">
      <alignment horizontal="left"/>
    </xf>
    <xf numFmtId="3" fontId="13" fillId="0" borderId="36" xfId="0" applyNumberFormat="1" applyFont="1" applyBorder="1" applyAlignment="1">
      <alignment horizontal="center" vertical="center" wrapText="1"/>
    </xf>
    <xf numFmtId="3" fontId="13" fillId="0" borderId="35" xfId="0" applyNumberFormat="1" applyFont="1" applyBorder="1" applyAlignment="1">
      <alignment horizontal="center" vertical="center" wrapText="1"/>
    </xf>
    <xf numFmtId="0" fontId="0" fillId="0" borderId="32" xfId="0" applyBorder="1" applyAlignment="1">
      <alignment horizontal="left"/>
    </xf>
    <xf numFmtId="0" fontId="0" fillId="0" borderId="34" xfId="0" applyBorder="1" applyAlignment="1">
      <alignment horizontal="left"/>
    </xf>
    <xf numFmtId="49" fontId="2" fillId="6" borderId="3" xfId="0" applyNumberFormat="1" applyFont="1" applyFill="1" applyBorder="1" applyAlignment="1">
      <alignment horizontal="left" vertical="center"/>
    </xf>
    <xf numFmtId="49" fontId="2" fillId="6" borderId="35" xfId="0" applyNumberFormat="1" applyFont="1" applyFill="1" applyBorder="1" applyAlignment="1">
      <alignment horizontal="left" vertical="center"/>
    </xf>
    <xf numFmtId="3" fontId="12" fillId="6" borderId="36" xfId="0" applyNumberFormat="1" applyFont="1" applyFill="1" applyBorder="1" applyAlignment="1">
      <alignment horizontal="center" vertical="center" wrapText="1"/>
    </xf>
    <xf numFmtId="3" fontId="12" fillId="6" borderId="35" xfId="0" applyNumberFormat="1" applyFont="1" applyFill="1" applyBorder="1" applyAlignment="1">
      <alignment horizontal="center" vertical="center" wrapText="1"/>
    </xf>
    <xf numFmtId="0" fontId="0" fillId="6" borderId="33" xfId="0" applyFill="1" applyBorder="1" applyAlignment="1">
      <alignment horizontal="left"/>
    </xf>
    <xf numFmtId="0" fontId="1" fillId="0" borderId="0" xfId="1" applyFont="1" applyFill="1" applyAlignment="1" applyProtection="1">
      <alignment vertical="justify" wrapText="1"/>
      <protection locked="0"/>
    </xf>
    <xf numFmtId="0" fontId="1" fillId="0" borderId="0" xfId="1" applyFont="1" applyAlignment="1" applyProtection="1">
      <alignment vertical="justify" wrapText="1" shrinkToFit="1"/>
      <protection locked="0"/>
    </xf>
    <xf numFmtId="0" fontId="0" fillId="0" borderId="0" xfId="0" applyAlignment="1">
      <alignment vertical="justify" wrapText="1" shrinkToFit="1"/>
    </xf>
    <xf numFmtId="0" fontId="0" fillId="0" borderId="0" xfId="0" applyAlignment="1">
      <alignment horizontal="right"/>
    </xf>
    <xf numFmtId="0" fontId="2" fillId="6" borderId="37" xfId="0" applyFont="1" applyFill="1" applyBorder="1" applyAlignment="1">
      <alignment horizontal="center"/>
    </xf>
    <xf numFmtId="0" fontId="2" fillId="6" borderId="18" xfId="0" applyFont="1" applyFill="1" applyBorder="1" applyAlignment="1">
      <alignment horizontal="center"/>
    </xf>
    <xf numFmtId="0" fontId="2" fillId="6" borderId="19" xfId="0" applyFont="1" applyFill="1" applyBorder="1" applyAlignment="1">
      <alignment horizontal="center"/>
    </xf>
    <xf numFmtId="0" fontId="2" fillId="0" borderId="3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1" fillId="0" borderId="0" xfId="1" applyFont="1" applyAlignment="1">
      <alignment vertical="justify" wrapText="1"/>
    </xf>
    <xf numFmtId="0" fontId="1" fillId="0" borderId="0" xfId="1" applyAlignment="1">
      <alignment vertical="justify" wrapText="1"/>
    </xf>
    <xf numFmtId="0" fontId="1" fillId="0" borderId="0" xfId="1" applyFont="1" applyAlignment="1" applyProtection="1">
      <alignment horizontal="right" indent="4"/>
      <protection locked="0"/>
    </xf>
    <xf numFmtId="0" fontId="1" fillId="0" borderId="0" xfId="1" applyFont="1" applyAlignment="1" applyProtection="1">
      <alignment shrinkToFit="1"/>
      <protection locked="0"/>
    </xf>
    <xf numFmtId="0" fontId="1" fillId="0" borderId="0" xfId="1" applyFont="1" applyAlignment="1">
      <alignment shrinkToFit="1"/>
    </xf>
    <xf numFmtId="0" fontId="0" fillId="0" borderId="0" xfId="0" applyAlignment="1">
      <alignment horizontal="justify" vertical="justify" wrapText="1"/>
    </xf>
    <xf numFmtId="0" fontId="2" fillId="0" borderId="0" xfId="1" applyFont="1" applyAlignment="1" applyProtection="1">
      <alignment horizontal="justify" vertical="justify" wrapText="1"/>
      <protection locked="0"/>
    </xf>
    <xf numFmtId="0" fontId="1" fillId="0" borderId="0" xfId="1" applyFont="1" applyAlignment="1" applyProtection="1">
      <alignment wrapText="1" shrinkToFit="1"/>
      <protection locked="0"/>
    </xf>
    <xf numFmtId="0" fontId="1" fillId="0" borderId="0" xfId="1" applyFont="1" applyAlignment="1"/>
    <xf numFmtId="0" fontId="1" fillId="0" borderId="0" xfId="1" applyFont="1" applyAlignment="1" applyProtection="1">
      <alignment horizontal="left" indent="6"/>
      <protection locked="0"/>
    </xf>
    <xf numFmtId="0" fontId="1" fillId="0" borderId="0" xfId="1" applyFont="1" applyAlignment="1">
      <alignment horizontal="left" indent="6"/>
    </xf>
    <xf numFmtId="0" fontId="1" fillId="0" borderId="0" xfId="1" applyFont="1" applyAlignment="1" applyProtection="1">
      <alignment horizontal="left" indent="6" shrinkToFit="1"/>
      <protection locked="0"/>
    </xf>
    <xf numFmtId="0" fontId="1" fillId="0" borderId="0" xfId="1" applyFont="1" applyAlignment="1" applyProtection="1">
      <alignment vertical="justify" wrapText="1"/>
      <protection locked="0"/>
    </xf>
    <xf numFmtId="3" fontId="2" fillId="6" borderId="37" xfId="0" applyNumberFormat="1" applyFont="1" applyFill="1" applyBorder="1" applyAlignment="1">
      <alignment horizontal="center"/>
    </xf>
    <xf numFmtId="3" fontId="2" fillId="6" borderId="18" xfId="0" applyNumberFormat="1" applyFont="1" applyFill="1" applyBorder="1" applyAlignment="1">
      <alignment horizontal="center"/>
    </xf>
    <xf numFmtId="3" fontId="2" fillId="6" borderId="19" xfId="0" applyNumberFormat="1" applyFont="1" applyFill="1" applyBorder="1" applyAlignment="1">
      <alignment horizontal="center"/>
    </xf>
    <xf numFmtId="3" fontId="2" fillId="6" borderId="14" xfId="0" applyNumberFormat="1" applyFont="1" applyFill="1" applyBorder="1" applyAlignment="1">
      <alignment horizontal="center"/>
    </xf>
    <xf numFmtId="3" fontId="2" fillId="6" borderId="17" xfId="0" applyNumberFormat="1" applyFont="1" applyFill="1" applyBorder="1" applyAlignment="1">
      <alignment horizontal="center"/>
    </xf>
    <xf numFmtId="3" fontId="2" fillId="6" borderId="20" xfId="0" applyNumberFormat="1" applyFont="1" applyFill="1" applyBorder="1" applyAlignment="1">
      <alignment horizontal="center"/>
    </xf>
    <xf numFmtId="49" fontId="12" fillId="0" borderId="15" xfId="0" applyNumberFormat="1" applyFont="1" applyBorder="1" applyAlignment="1">
      <alignment horizontal="center" vertical="center" wrapText="1"/>
    </xf>
    <xf numFmtId="0" fontId="0" fillId="0" borderId="17" xfId="0" applyBorder="1" applyAlignment="1">
      <alignment horizontal="center" vertical="center" wrapText="1"/>
    </xf>
    <xf numFmtId="49" fontId="2" fillId="6" borderId="3"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0" fontId="1" fillId="0" borderId="0" xfId="1" applyAlignment="1">
      <alignment horizontal="right" shrinkToFit="1"/>
    </xf>
    <xf numFmtId="0" fontId="0" fillId="0" borderId="0" xfId="0" applyAlignment="1">
      <alignment shrinkToFit="1"/>
    </xf>
    <xf numFmtId="0" fontId="0" fillId="0" borderId="25" xfId="0" applyBorder="1" applyAlignment="1">
      <alignment shrinkToFit="1"/>
    </xf>
    <xf numFmtId="0" fontId="11" fillId="0" borderId="0" xfId="0" applyFont="1" applyAlignment="1" applyProtection="1">
      <alignment horizontal="justify" wrapText="1"/>
      <protection locked="0"/>
    </xf>
    <xf numFmtId="0" fontId="0" fillId="0" borderId="0" xfId="0" applyAlignment="1">
      <alignment horizontal="justify" wrapText="1"/>
    </xf>
    <xf numFmtId="0" fontId="11" fillId="0" borderId="0" xfId="0" applyFont="1" applyFill="1" applyAlignment="1">
      <alignment horizontal="justify" vertical="justify" wrapText="1"/>
    </xf>
    <xf numFmtId="0" fontId="11" fillId="0" borderId="0" xfId="0" applyFont="1" applyAlignment="1">
      <alignment horizontal="justify" vertical="justify" wrapText="1"/>
    </xf>
    <xf numFmtId="3" fontId="2" fillId="0" borderId="37" xfId="1" applyNumberFormat="1" applyFont="1" applyBorder="1" applyAlignment="1">
      <alignment horizontal="center"/>
    </xf>
    <xf numFmtId="3" fontId="2" fillId="0" borderId="18" xfId="1" applyNumberFormat="1" applyFont="1" applyBorder="1" applyAlignment="1">
      <alignment horizontal="center"/>
    </xf>
    <xf numFmtId="3" fontId="2" fillId="0" borderId="19" xfId="1" applyNumberFormat="1" applyFont="1" applyBorder="1" applyAlignment="1">
      <alignment horizontal="center"/>
    </xf>
    <xf numFmtId="3" fontId="2" fillId="0" borderId="14" xfId="1" applyNumberFormat="1" applyFont="1" applyBorder="1" applyAlignment="1">
      <alignment horizontal="center"/>
    </xf>
    <xf numFmtId="3" fontId="2" fillId="0" borderId="17" xfId="1" applyNumberFormat="1" applyFont="1" applyBorder="1" applyAlignment="1">
      <alignment horizontal="center"/>
    </xf>
    <xf numFmtId="3" fontId="2" fillId="0" borderId="20" xfId="1" applyNumberFormat="1" applyFont="1" applyBorder="1" applyAlignment="1">
      <alignment horizontal="center"/>
    </xf>
    <xf numFmtId="0" fontId="1" fillId="0" borderId="2" xfId="1" applyBorder="1" applyAlignment="1">
      <alignment horizontal="center" shrinkToFit="1"/>
    </xf>
    <xf numFmtId="0" fontId="0" fillId="0" borderId="66" xfId="0" applyBorder="1" applyAlignment="1">
      <alignment horizontal="center" shrinkToFit="1"/>
    </xf>
    <xf numFmtId="3" fontId="2" fillId="6" borderId="14" xfId="1" applyNumberFormat="1" applyFont="1" applyFill="1" applyBorder="1" applyAlignment="1">
      <alignment horizontal="center"/>
    </xf>
    <xf numFmtId="3" fontId="2" fillId="6" borderId="17" xfId="1" applyNumberFormat="1" applyFont="1" applyFill="1" applyBorder="1" applyAlignment="1">
      <alignment horizontal="center"/>
    </xf>
    <xf numFmtId="3" fontId="2" fillId="6" borderId="20" xfId="1" applyNumberFormat="1" applyFont="1" applyFill="1" applyBorder="1" applyAlignment="1">
      <alignment horizontal="center"/>
    </xf>
    <xf numFmtId="49" fontId="1" fillId="0" borderId="0" xfId="1" applyNumberFormat="1" applyFont="1" applyBorder="1" applyAlignment="1">
      <alignment horizontal="left" vertical="center" wrapText="1"/>
    </xf>
    <xf numFmtId="0" fontId="0" fillId="0" borderId="0" xfId="0" applyAlignment="1">
      <alignment horizontal="left" vertical="center" wrapText="1"/>
    </xf>
    <xf numFmtId="49" fontId="12" fillId="0" borderId="15" xfId="1" applyNumberFormat="1" applyFont="1" applyBorder="1" applyAlignment="1">
      <alignment horizontal="center" vertical="center" wrapText="1"/>
    </xf>
    <xf numFmtId="0" fontId="1" fillId="0" borderId="17" xfId="1" applyBorder="1" applyAlignment="1">
      <alignment horizontal="center" vertical="center" wrapText="1"/>
    </xf>
    <xf numFmtId="3" fontId="2" fillId="6" borderId="37" xfId="1" applyNumberFormat="1" applyFont="1" applyFill="1" applyBorder="1" applyAlignment="1">
      <alignment horizontal="center"/>
    </xf>
    <xf numFmtId="3" fontId="2" fillId="6" borderId="18" xfId="1" applyNumberFormat="1" applyFont="1" applyFill="1" applyBorder="1" applyAlignment="1">
      <alignment horizontal="center"/>
    </xf>
    <xf numFmtId="3" fontId="2" fillId="6" borderId="19" xfId="1" applyNumberFormat="1" applyFont="1" applyFill="1" applyBorder="1" applyAlignment="1">
      <alignment horizontal="center"/>
    </xf>
    <xf numFmtId="49" fontId="2" fillId="6" borderId="3" xfId="1" applyNumberFormat="1" applyFont="1" applyFill="1" applyBorder="1" applyAlignment="1">
      <alignment horizontal="center" vertical="center" wrapText="1"/>
    </xf>
    <xf numFmtId="49" fontId="2" fillId="6" borderId="6" xfId="1" applyNumberFormat="1" applyFont="1" applyFill="1" applyBorder="1" applyAlignment="1">
      <alignment horizontal="center" vertical="center" wrapText="1"/>
    </xf>
    <xf numFmtId="0" fontId="1" fillId="0" borderId="0" xfId="0" applyFont="1" applyAlignment="1">
      <alignment wrapText="1"/>
    </xf>
    <xf numFmtId="3" fontId="13" fillId="6" borderId="36" xfId="0" applyNumberFormat="1" applyFont="1" applyFill="1" applyBorder="1" applyAlignment="1">
      <alignment horizontal="center" vertical="center" wrapText="1"/>
    </xf>
    <xf numFmtId="3" fontId="13" fillId="6" borderId="35" xfId="0" applyNumberFormat="1" applyFont="1" applyFill="1" applyBorder="1" applyAlignment="1">
      <alignment horizontal="center" vertical="center" wrapText="1"/>
    </xf>
    <xf numFmtId="0" fontId="1" fillId="0" borderId="0" xfId="0" applyFont="1" applyAlignment="1">
      <alignment vertical="justify" wrapText="1"/>
    </xf>
    <xf numFmtId="0" fontId="0" fillId="0" borderId="0" xfId="0" applyAlignment="1">
      <alignment vertical="justify" wrapText="1"/>
    </xf>
    <xf numFmtId="0" fontId="1" fillId="0" borderId="0" xfId="0" applyFont="1" applyAlignment="1">
      <alignment horizontal="justify" vertical="justify"/>
    </xf>
    <xf numFmtId="0" fontId="2" fillId="0" borderId="0" xfId="0" applyFont="1" applyAlignment="1">
      <alignment vertical="justify" wrapText="1"/>
    </xf>
    <xf numFmtId="0" fontId="11" fillId="0" borderId="0" xfId="0" applyFont="1" applyAlignment="1" applyProtection="1">
      <alignment horizontal="justify" vertical="justify" wrapText="1"/>
      <protection locked="0"/>
    </xf>
    <xf numFmtId="0" fontId="11" fillId="0" borderId="0" xfId="0" applyFont="1" applyAlignment="1" applyProtection="1">
      <alignment vertical="justify" wrapText="1"/>
      <protection locked="0"/>
    </xf>
    <xf numFmtId="0" fontId="11" fillId="0" borderId="0" xfId="0" applyFont="1" applyAlignment="1" applyProtection="1">
      <alignment wrapText="1"/>
      <protection locked="0"/>
    </xf>
    <xf numFmtId="0" fontId="0" fillId="0" borderId="0" xfId="0" applyAlignment="1">
      <alignment horizontal="justify" vertical="top" wrapText="1"/>
    </xf>
    <xf numFmtId="0" fontId="11" fillId="0" borderId="0" xfId="0" applyFont="1" applyFill="1" applyAlignment="1" applyProtection="1">
      <alignment horizontal="justify" vertical="top" wrapText="1"/>
      <protection locked="0"/>
    </xf>
    <xf numFmtId="0" fontId="0" fillId="0" borderId="0" xfId="0" applyFill="1" applyAlignment="1">
      <alignment horizontal="justify" vertical="top" wrapText="1"/>
    </xf>
    <xf numFmtId="0" fontId="11" fillId="0" borderId="0" xfId="0" applyFont="1" applyAlignment="1" applyProtection="1">
      <alignment horizontal="justify" vertical="top" wrapText="1"/>
      <protection locked="0"/>
    </xf>
    <xf numFmtId="4" fontId="42" fillId="4" borderId="0" xfId="0" applyNumberFormat="1" applyFont="1" applyFill="1" applyAlignment="1">
      <alignment shrinkToFit="1"/>
    </xf>
    <xf numFmtId="4" fontId="0" fillId="0" borderId="0" xfId="0" applyNumberFormat="1" applyAlignment="1">
      <alignment shrinkToFit="1"/>
    </xf>
    <xf numFmtId="49" fontId="1" fillId="0" borderId="0" xfId="0" applyNumberFormat="1" applyFont="1" applyFill="1" applyBorder="1" applyAlignment="1">
      <alignment horizontal="left" vertical="center"/>
    </xf>
    <xf numFmtId="0" fontId="0" fillId="0" borderId="0" xfId="0" applyAlignment="1">
      <alignment horizontal="left"/>
    </xf>
    <xf numFmtId="3" fontId="2" fillId="0" borderId="37" xfId="0" applyNumberFormat="1" applyFont="1" applyBorder="1" applyAlignment="1">
      <alignment horizontal="center"/>
    </xf>
    <xf numFmtId="3" fontId="2" fillId="0" borderId="18" xfId="0" applyNumberFormat="1" applyFont="1" applyBorder="1" applyAlignment="1">
      <alignment horizontal="center"/>
    </xf>
    <xf numFmtId="3" fontId="2" fillId="0" borderId="19" xfId="0" applyNumberFormat="1" applyFont="1" applyBorder="1" applyAlignment="1">
      <alignment horizontal="center"/>
    </xf>
    <xf numFmtId="3" fontId="2" fillId="0" borderId="14" xfId="0" applyNumberFormat="1" applyFont="1" applyBorder="1" applyAlignment="1">
      <alignment horizontal="center"/>
    </xf>
    <xf numFmtId="3" fontId="2" fillId="0" borderId="17" xfId="0" applyNumberFormat="1" applyFont="1" applyBorder="1" applyAlignment="1">
      <alignment horizontal="center"/>
    </xf>
    <xf numFmtId="3" fontId="2" fillId="0" borderId="20" xfId="0" applyNumberFormat="1" applyFont="1" applyBorder="1" applyAlignment="1">
      <alignment horizontal="center"/>
    </xf>
    <xf numFmtId="0" fontId="6" fillId="0" borderId="0" xfId="1" applyFont="1" applyAlignment="1">
      <alignment horizontal="right"/>
    </xf>
    <xf numFmtId="0" fontId="11" fillId="0" borderId="0" xfId="2" applyFont="1" applyAlignment="1" applyProtection="1">
      <alignment horizontal="justify" vertical="top" wrapText="1"/>
      <protection locked="0"/>
    </xf>
    <xf numFmtId="4" fontId="1" fillId="5" borderId="0" xfId="1" applyNumberFormat="1" applyFont="1" applyFill="1" applyAlignment="1">
      <alignment shrinkToFit="1"/>
    </xf>
    <xf numFmtId="4" fontId="1" fillId="5" borderId="0" xfId="0" applyNumberFormat="1" applyFont="1" applyFill="1" applyAlignment="1">
      <alignment shrinkToFit="1"/>
    </xf>
    <xf numFmtId="3" fontId="2" fillId="0" borderId="8" xfId="1" applyNumberFormat="1" applyFont="1" applyBorder="1" applyAlignment="1">
      <alignment horizontal="center" vertical="top" wrapText="1"/>
    </xf>
    <xf numFmtId="0" fontId="0" fillId="0" borderId="22" xfId="0" applyBorder="1" applyAlignment="1">
      <alignment horizontal="center" vertical="top" wrapText="1"/>
    </xf>
    <xf numFmtId="0" fontId="0" fillId="6" borderId="19" xfId="0" applyFill="1" applyBorder="1" applyAlignment="1">
      <alignment horizontal="center"/>
    </xf>
    <xf numFmtId="3" fontId="2" fillId="6" borderId="38" xfId="1" applyNumberFormat="1" applyFont="1" applyFill="1" applyBorder="1" applyAlignment="1">
      <alignment horizontal="center" vertical="top" wrapText="1"/>
    </xf>
    <xf numFmtId="0" fontId="0" fillId="6" borderId="39" xfId="0" applyFill="1" applyBorder="1" applyAlignment="1">
      <alignment horizontal="center" vertical="top" wrapText="1"/>
    </xf>
    <xf numFmtId="3" fontId="2" fillId="6" borderId="8" xfId="1" applyNumberFormat="1" applyFont="1" applyFill="1" applyBorder="1" applyAlignment="1">
      <alignment horizontal="center" vertical="top" wrapText="1"/>
    </xf>
    <xf numFmtId="0" fontId="0" fillId="6" borderId="22" xfId="0" applyFill="1" applyBorder="1" applyAlignment="1">
      <alignment horizontal="center" vertical="top" wrapText="1"/>
    </xf>
    <xf numFmtId="3" fontId="2" fillId="0" borderId="38" xfId="1" applyNumberFormat="1" applyFont="1" applyBorder="1" applyAlignment="1">
      <alignment horizontal="center" vertical="top" wrapText="1"/>
    </xf>
    <xf numFmtId="0" fontId="0" fillId="0" borderId="39" xfId="0" applyBorder="1" applyAlignment="1">
      <alignment horizontal="center" vertical="top" wrapText="1"/>
    </xf>
    <xf numFmtId="0" fontId="0" fillId="0" borderId="0" xfId="0" applyFont="1" applyFill="1" applyBorder="1" applyAlignment="1">
      <alignment horizontal="justify" vertical="justify" wrapText="1"/>
    </xf>
    <xf numFmtId="0" fontId="1" fillId="0" borderId="0" xfId="0" applyFont="1" applyBorder="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center" shrinkToFit="1"/>
    </xf>
    <xf numFmtId="0" fontId="0" fillId="0" borderId="0" xfId="0" applyAlignment="1">
      <alignment horizontal="center" shrinkToFit="1"/>
    </xf>
    <xf numFmtId="0" fontId="1" fillId="0" borderId="0" xfId="0" applyFont="1" applyBorder="1" applyAlignment="1">
      <alignment horizontal="center" shrinkToFit="1"/>
    </xf>
    <xf numFmtId="0" fontId="0" fillId="0" borderId="62" xfId="0" applyBorder="1" applyAlignment="1">
      <alignment horizontal="center" shrinkToFit="1"/>
    </xf>
    <xf numFmtId="0" fontId="9" fillId="0" borderId="0" xfId="0" applyFont="1" applyFill="1" applyBorder="1" applyAlignment="1">
      <alignment horizontal="justify" vertical="justify" wrapText="1"/>
    </xf>
  </cellXfs>
  <cellStyles count="3">
    <cellStyle name="Normální" xfId="0" builtinId="0"/>
    <cellStyle name="Normální 2" xfId="1"/>
    <cellStyle name="normální_Zdravotnictví-návrh rozp.2005-po opr.2.11.2004" xfId="2"/>
  </cellStyles>
  <dxfs count="38">
    <dxf>
      <font>
        <color rgb="FFFF0000"/>
      </font>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ont>
        <color rgb="FFFF0000"/>
      </font>
      <fill>
        <patternFill>
          <bgColor rgb="FFFFFFCC"/>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CCFFFF"/>
      <color rgb="FF66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AM50"/>
  <sheetViews>
    <sheetView showGridLines="0" tabSelected="1" zoomScaleNormal="100" workbookViewId="0">
      <selection activeCell="Q10" sqref="Q10"/>
    </sheetView>
  </sheetViews>
  <sheetFormatPr defaultRowHeight="12.75" x14ac:dyDescent="0.2"/>
  <cols>
    <col min="1" max="1" width="0.140625" style="39" customWidth="1"/>
    <col min="2" max="2" width="39.7109375" style="39" customWidth="1"/>
    <col min="3" max="11" width="12.7109375" style="39" customWidth="1"/>
    <col min="12" max="14" width="12.7109375" style="39" hidden="1" customWidth="1"/>
    <col min="15" max="17" width="12.7109375" style="39" customWidth="1"/>
    <col min="18" max="18" width="12.7109375" style="419" customWidth="1"/>
    <col min="19" max="22" width="12.7109375" style="419" hidden="1" customWidth="1"/>
    <col min="23" max="23" width="2" style="39" hidden="1" customWidth="1"/>
    <col min="24" max="24" width="11.42578125" style="39" hidden="1" customWidth="1"/>
    <col min="25" max="25" width="10" style="39" hidden="1" customWidth="1"/>
    <col min="26" max="26" width="9.140625" style="39" hidden="1" customWidth="1"/>
    <col min="27" max="27" width="12.28515625" style="39" hidden="1" customWidth="1"/>
    <col min="28" max="28" width="10.42578125" style="39" hidden="1" customWidth="1"/>
    <col min="29" max="29" width="9.140625" style="39" hidden="1" customWidth="1"/>
    <col min="30" max="30" width="12.28515625" style="39" hidden="1" customWidth="1"/>
    <col min="31" max="32" width="9.140625" style="39" hidden="1" customWidth="1"/>
    <col min="33" max="35" width="12.7109375" style="39" hidden="1" customWidth="1"/>
    <col min="36" max="36" width="8.7109375" style="39" hidden="1" customWidth="1"/>
    <col min="37" max="38" width="9.140625" style="39" hidden="1" customWidth="1"/>
    <col min="39" max="39" width="10.140625" style="39" hidden="1" customWidth="1"/>
    <col min="40" max="48" width="9.140625" style="39" customWidth="1"/>
    <col min="49" max="16384" width="9.140625" style="39"/>
  </cols>
  <sheetData>
    <row r="1" spans="1:35" x14ac:dyDescent="0.2">
      <c r="F1"/>
      <c r="G1"/>
      <c r="H1" s="663"/>
      <c r="I1" s="663"/>
      <c r="J1" s="664"/>
      <c r="K1" s="660"/>
      <c r="AG1" s="312"/>
      <c r="AH1" s="312"/>
      <c r="AI1" s="312"/>
    </row>
    <row r="2" spans="1:35" ht="20.25" x14ac:dyDescent="0.3">
      <c r="B2" s="64" t="s">
        <v>560</v>
      </c>
      <c r="C2" s="64"/>
      <c r="D2" s="64"/>
      <c r="E2" s="64"/>
      <c r="F2" s="220"/>
      <c r="G2"/>
      <c r="H2" s="663"/>
      <c r="I2" s="663"/>
      <c r="J2" s="665"/>
      <c r="K2" s="660"/>
      <c r="L2" s="64"/>
      <c r="M2" s="145"/>
      <c r="N2" s="146" t="s">
        <v>179</v>
      </c>
      <c r="O2" s="64"/>
      <c r="P2" s="145"/>
      <c r="Q2" s="146" t="s">
        <v>179</v>
      </c>
      <c r="R2" s="543"/>
      <c r="S2" s="543"/>
      <c r="T2" s="543"/>
      <c r="U2" s="543"/>
      <c r="V2" s="543"/>
      <c r="AG2" s="312"/>
      <c r="AH2" s="312"/>
      <c r="AI2" s="312"/>
    </row>
    <row r="3" spans="1:35" ht="15.75" x14ac:dyDescent="0.25">
      <c r="B3" s="151" t="s">
        <v>446</v>
      </c>
      <c r="C3" s="151"/>
      <c r="D3" s="151"/>
      <c r="E3" s="151"/>
      <c r="F3" s="220"/>
      <c r="G3"/>
      <c r="H3"/>
      <c r="I3" s="199"/>
      <c r="J3" s="199"/>
      <c r="K3" s="224"/>
      <c r="L3" s="151"/>
      <c r="M3" s="145"/>
      <c r="N3" s="145"/>
      <c r="O3" s="151"/>
      <c r="P3" s="145"/>
      <c r="Q3" s="145"/>
      <c r="R3" s="544"/>
      <c r="S3" s="544"/>
      <c r="T3" s="544"/>
      <c r="U3" s="544"/>
      <c r="V3" s="544"/>
      <c r="AG3"/>
      <c r="AH3"/>
      <c r="AI3"/>
    </row>
    <row r="4" spans="1:35" ht="15.75" x14ac:dyDescent="0.25">
      <c r="B4" s="151"/>
      <c r="C4" s="151"/>
      <c r="D4" s="151"/>
      <c r="E4" s="151"/>
      <c r="F4" s="220"/>
      <c r="G4"/>
      <c r="H4"/>
      <c r="I4" s="199"/>
      <c r="J4" s="199"/>
      <c r="K4" s="224"/>
      <c r="L4" s="151"/>
      <c r="M4" s="145"/>
      <c r="N4" s="145"/>
      <c r="O4" s="151"/>
      <c r="P4" s="145"/>
      <c r="Q4" s="145"/>
      <c r="R4" s="544"/>
      <c r="S4" s="544"/>
      <c r="T4" s="544"/>
      <c r="U4" s="544"/>
      <c r="V4" s="544"/>
      <c r="AG4"/>
      <c r="AH4"/>
      <c r="AI4"/>
    </row>
    <row r="5" spans="1:35" x14ac:dyDescent="0.2">
      <c r="F5" s="220"/>
      <c r="G5"/>
      <c r="H5"/>
      <c r="I5" s="199"/>
      <c r="J5" s="199"/>
      <c r="K5" s="224"/>
      <c r="L5" s="631"/>
      <c r="M5" s="631"/>
      <c r="N5" s="631"/>
      <c r="O5" s="631"/>
      <c r="P5" s="631"/>
      <c r="Q5" s="631"/>
      <c r="R5" s="545"/>
      <c r="S5" s="545"/>
      <c r="T5" s="545"/>
      <c r="U5" s="545"/>
      <c r="V5" s="545"/>
      <c r="AG5"/>
      <c r="AH5"/>
      <c r="AI5"/>
    </row>
    <row r="6" spans="1:35" ht="13.5" thickBot="1" x14ac:dyDescent="0.25">
      <c r="F6" s="219"/>
      <c r="G6" s="219"/>
      <c r="H6" s="219"/>
      <c r="I6" s="221"/>
      <c r="J6" s="221"/>
      <c r="K6" s="466"/>
      <c r="L6" s="127"/>
      <c r="N6" s="60" t="s">
        <v>5</v>
      </c>
      <c r="O6" s="127"/>
      <c r="Q6" s="466" t="s">
        <v>5</v>
      </c>
      <c r="R6" s="545"/>
      <c r="S6" s="545"/>
      <c r="T6" s="545"/>
      <c r="U6" s="545"/>
      <c r="V6" s="545"/>
      <c r="AG6" s="219"/>
      <c r="AH6" s="219"/>
      <c r="AI6" s="311" t="s">
        <v>5</v>
      </c>
    </row>
    <row r="7" spans="1:35" ht="26.1" customHeight="1" thickTop="1" x14ac:dyDescent="0.2">
      <c r="A7" s="205"/>
      <c r="B7" s="469"/>
      <c r="C7" s="661" t="s">
        <v>548</v>
      </c>
      <c r="D7" s="633"/>
      <c r="E7" s="662"/>
      <c r="F7" s="661" t="s">
        <v>549</v>
      </c>
      <c r="G7" s="633"/>
      <c r="H7" s="662"/>
      <c r="I7" s="661" t="s">
        <v>558</v>
      </c>
      <c r="J7" s="633"/>
      <c r="K7" s="662"/>
      <c r="L7" s="661" t="s">
        <v>6</v>
      </c>
      <c r="M7" s="633"/>
      <c r="N7" s="634"/>
      <c r="O7" s="632" t="s">
        <v>633</v>
      </c>
      <c r="P7" s="633"/>
      <c r="Q7" s="634"/>
      <c r="R7" s="546"/>
      <c r="S7" s="546"/>
      <c r="T7" s="546"/>
      <c r="U7" s="546"/>
      <c r="V7" s="546"/>
      <c r="X7" s="658" t="s">
        <v>449</v>
      </c>
      <c r="Y7" s="654"/>
      <c r="Z7" s="654"/>
      <c r="AA7" s="653" t="s">
        <v>450</v>
      </c>
      <c r="AB7" s="654"/>
      <c r="AC7" s="655"/>
      <c r="AD7" s="653" t="s">
        <v>448</v>
      </c>
      <c r="AE7" s="654"/>
      <c r="AF7" s="655"/>
      <c r="AG7" s="645" t="s">
        <v>559</v>
      </c>
      <c r="AH7" s="646"/>
      <c r="AI7" s="647"/>
    </row>
    <row r="8" spans="1:35" x14ac:dyDescent="0.2">
      <c r="A8" s="206"/>
      <c r="B8" s="639" t="s">
        <v>66</v>
      </c>
      <c r="C8" s="641" t="s">
        <v>178</v>
      </c>
      <c r="D8" s="637" t="s">
        <v>10</v>
      </c>
      <c r="E8" s="652"/>
      <c r="F8" s="641" t="s">
        <v>178</v>
      </c>
      <c r="G8" s="637" t="s">
        <v>10</v>
      </c>
      <c r="H8" s="652"/>
      <c r="I8" s="641" t="s">
        <v>178</v>
      </c>
      <c r="J8" s="637" t="s">
        <v>10</v>
      </c>
      <c r="K8" s="652"/>
      <c r="L8" s="643" t="s">
        <v>178</v>
      </c>
      <c r="M8" s="637" t="s">
        <v>10</v>
      </c>
      <c r="N8" s="638"/>
      <c r="O8" s="635" t="s">
        <v>178</v>
      </c>
      <c r="P8" s="637" t="s">
        <v>10</v>
      </c>
      <c r="Q8" s="638"/>
      <c r="R8" s="547"/>
      <c r="S8" s="547"/>
      <c r="T8" s="547"/>
      <c r="U8" s="547"/>
      <c r="V8" s="547"/>
      <c r="X8" s="648" t="s">
        <v>178</v>
      </c>
      <c r="Y8" s="650" t="s">
        <v>10</v>
      </c>
      <c r="Z8" s="659"/>
      <c r="AA8" s="656" t="s">
        <v>178</v>
      </c>
      <c r="AB8" s="650" t="s">
        <v>10</v>
      </c>
      <c r="AC8" s="651"/>
      <c r="AD8" s="656" t="s">
        <v>178</v>
      </c>
      <c r="AE8" s="650" t="s">
        <v>10</v>
      </c>
      <c r="AF8" s="651"/>
      <c r="AG8" s="648" t="s">
        <v>178</v>
      </c>
      <c r="AH8" s="650" t="s">
        <v>10</v>
      </c>
      <c r="AI8" s="651"/>
    </row>
    <row r="9" spans="1:35" ht="64.5" thickBot="1" x14ac:dyDescent="0.25">
      <c r="A9" s="206"/>
      <c r="B9" s="640"/>
      <c r="C9" s="642"/>
      <c r="D9" s="470" t="s">
        <v>12</v>
      </c>
      <c r="E9" s="471" t="s">
        <v>180</v>
      </c>
      <c r="F9" s="642"/>
      <c r="G9" s="470" t="s">
        <v>12</v>
      </c>
      <c r="H9" s="471" t="s">
        <v>180</v>
      </c>
      <c r="I9" s="642"/>
      <c r="J9" s="470" t="s">
        <v>12</v>
      </c>
      <c r="K9" s="471" t="s">
        <v>180</v>
      </c>
      <c r="L9" s="644"/>
      <c r="M9" s="470" t="s">
        <v>12</v>
      </c>
      <c r="N9" s="472" t="s">
        <v>180</v>
      </c>
      <c r="O9" s="636"/>
      <c r="P9" s="470" t="s">
        <v>12</v>
      </c>
      <c r="Q9" s="472" t="s">
        <v>180</v>
      </c>
      <c r="R9" s="548"/>
      <c r="S9" s="548"/>
      <c r="T9" s="548"/>
      <c r="U9" s="548"/>
      <c r="V9" s="548"/>
      <c r="X9" s="649"/>
      <c r="Y9" s="150" t="s">
        <v>12</v>
      </c>
      <c r="Z9" s="149" t="s">
        <v>180</v>
      </c>
      <c r="AA9" s="657"/>
      <c r="AB9" s="150" t="s">
        <v>12</v>
      </c>
      <c r="AC9" s="207" t="s">
        <v>180</v>
      </c>
      <c r="AD9" s="657"/>
      <c r="AE9" s="150" t="s">
        <v>12</v>
      </c>
      <c r="AF9" s="207" t="s">
        <v>180</v>
      </c>
      <c r="AG9" s="649"/>
      <c r="AH9" s="313" t="s">
        <v>12</v>
      </c>
      <c r="AI9" s="318" t="s">
        <v>180</v>
      </c>
    </row>
    <row r="10" spans="1:35" ht="14.25" thickTop="1" thickBot="1" x14ac:dyDescent="0.25">
      <c r="A10" s="206"/>
      <c r="B10" s="473"/>
      <c r="C10" s="474" t="s">
        <v>62</v>
      </c>
      <c r="D10" s="475" t="s">
        <v>61</v>
      </c>
      <c r="E10" s="475" t="s">
        <v>60</v>
      </c>
      <c r="F10" s="474" t="s">
        <v>59</v>
      </c>
      <c r="G10" s="475" t="s">
        <v>58</v>
      </c>
      <c r="H10" s="475" t="s">
        <v>57</v>
      </c>
      <c r="I10" s="474" t="s">
        <v>56</v>
      </c>
      <c r="J10" s="475" t="s">
        <v>55</v>
      </c>
      <c r="K10" s="475" t="s">
        <v>54</v>
      </c>
      <c r="L10" s="474" t="s">
        <v>53</v>
      </c>
      <c r="M10" s="475" t="s">
        <v>52</v>
      </c>
      <c r="N10" s="476" t="s">
        <v>51</v>
      </c>
      <c r="O10" s="554" t="s">
        <v>634</v>
      </c>
      <c r="P10" s="475" t="s">
        <v>635</v>
      </c>
      <c r="Q10" s="476" t="s">
        <v>636</v>
      </c>
      <c r="R10" s="549"/>
      <c r="S10" s="549"/>
      <c r="T10" s="549"/>
      <c r="U10" s="549"/>
      <c r="V10" s="549"/>
      <c r="X10" s="238" t="s">
        <v>56</v>
      </c>
      <c r="Y10" s="58" t="s">
        <v>55</v>
      </c>
      <c r="Z10" s="58" t="s">
        <v>54</v>
      </c>
      <c r="AA10" s="59" t="s">
        <v>56</v>
      </c>
      <c r="AB10" s="58" t="s">
        <v>55</v>
      </c>
      <c r="AC10" s="208" t="s">
        <v>54</v>
      </c>
      <c r="AD10" s="59" t="s">
        <v>56</v>
      </c>
      <c r="AE10" s="58" t="s">
        <v>55</v>
      </c>
      <c r="AF10" s="208" t="s">
        <v>54</v>
      </c>
      <c r="AG10" s="238"/>
      <c r="AH10" s="314"/>
      <c r="AI10" s="319"/>
    </row>
    <row r="11" spans="1:35" ht="15.95" customHeight="1" x14ac:dyDescent="0.25">
      <c r="A11" s="206"/>
      <c r="B11" s="80" t="s">
        <v>177</v>
      </c>
      <c r="C11" s="81">
        <f t="shared" ref="C11:C23" si="0">D11+E11</f>
        <v>401999</v>
      </c>
      <c r="D11" s="143">
        <f>D12+D17</f>
        <v>315404</v>
      </c>
      <c r="E11" s="143">
        <f>E12+E17</f>
        <v>86595</v>
      </c>
      <c r="F11" s="81">
        <f t="shared" ref="F11:F23" si="1">G11+H11</f>
        <v>402865.91</v>
      </c>
      <c r="G11" s="143">
        <f>G12+G17</f>
        <v>316270.90999999997</v>
      </c>
      <c r="H11" s="143">
        <f>H12+H17</f>
        <v>86595</v>
      </c>
      <c r="I11" s="81">
        <f t="shared" ref="I11:I23" si="2">J11+K11</f>
        <v>389394</v>
      </c>
      <c r="J11" s="143">
        <f>J12+J17</f>
        <v>300681</v>
      </c>
      <c r="K11" s="143">
        <f>K12+K17</f>
        <v>88713</v>
      </c>
      <c r="L11" s="81">
        <f t="shared" ref="L11:L20" si="3">M11+N11</f>
        <v>-12605</v>
      </c>
      <c r="M11" s="143">
        <f>M12+M17</f>
        <v>-14723</v>
      </c>
      <c r="N11" s="209">
        <f>N12+N17</f>
        <v>2118</v>
      </c>
      <c r="O11" s="555">
        <f>IF(I11=0," ",(IF(C11=0," ",I11/C11*100)))</f>
        <v>96.864420060746411</v>
      </c>
      <c r="P11" s="541">
        <f t="shared" ref="P11:Q11" si="4">IF(J11=0," ",(IF(D11=0," ",J11/D11*100)))</f>
        <v>95.332018617392293</v>
      </c>
      <c r="Q11" s="556">
        <f t="shared" si="4"/>
        <v>102.44586869911659</v>
      </c>
      <c r="R11" s="422"/>
      <c r="S11" s="422"/>
      <c r="T11" s="422"/>
      <c r="U11" s="422"/>
      <c r="V11" s="422"/>
      <c r="X11" s="239">
        <f t="shared" ref="X11:X20" si="5">Y11+Z11</f>
        <v>409386</v>
      </c>
      <c r="Y11" s="143">
        <f>Y12+Y17</f>
        <v>330231</v>
      </c>
      <c r="Z11" s="143">
        <f>Z12+Z17</f>
        <v>79155</v>
      </c>
      <c r="AA11" s="81">
        <f t="shared" ref="AA11:AA20" si="6">AB11+AC11</f>
        <v>389394</v>
      </c>
      <c r="AB11" s="143">
        <f>AB12+AB17</f>
        <v>300681</v>
      </c>
      <c r="AC11" s="209">
        <f>AC12+AC17</f>
        <v>88713</v>
      </c>
      <c r="AD11" s="81">
        <f t="shared" ref="AD11:AD20" si="7">AE11+AF11</f>
        <v>-19992</v>
      </c>
      <c r="AE11" s="143">
        <f>AE12+AE17</f>
        <v>-29550</v>
      </c>
      <c r="AF11" s="209">
        <f>AF12+AF17</f>
        <v>9558</v>
      </c>
      <c r="AG11" s="239">
        <f>AH11+AI11</f>
        <v>386270</v>
      </c>
      <c r="AH11" s="315">
        <f>AH12+AH17</f>
        <v>299675</v>
      </c>
      <c r="AI11" s="320">
        <f>AI12+AI17</f>
        <v>86595</v>
      </c>
    </row>
    <row r="12" spans="1:35" ht="15.95" customHeight="1" x14ac:dyDescent="0.25">
      <c r="A12" s="206"/>
      <c r="B12" s="51" t="s">
        <v>170</v>
      </c>
      <c r="C12" s="49">
        <f>D12+E12</f>
        <v>401904</v>
      </c>
      <c r="D12" s="50">
        <f>SUM(D13:D16)</f>
        <v>315309</v>
      </c>
      <c r="E12" s="50">
        <f>SUM(E13:E16)</f>
        <v>86595</v>
      </c>
      <c r="F12" s="49">
        <f t="shared" si="1"/>
        <v>402770.91</v>
      </c>
      <c r="G12" s="50">
        <f>SUM(G13:G16)</f>
        <v>316175.90999999997</v>
      </c>
      <c r="H12" s="50">
        <f>SUM(H13:H16)</f>
        <v>86595</v>
      </c>
      <c r="I12" s="49">
        <f t="shared" si="2"/>
        <v>389293</v>
      </c>
      <c r="J12" s="50">
        <f>SUM(J13:J16)</f>
        <v>300580</v>
      </c>
      <c r="K12" s="50">
        <f>SUM(K13:K16)</f>
        <v>88713</v>
      </c>
      <c r="L12" s="49">
        <f t="shared" si="3"/>
        <v>-12611</v>
      </c>
      <c r="M12" s="50">
        <f>M13+M14+M15+M16</f>
        <v>-14729</v>
      </c>
      <c r="N12" s="210">
        <f>N13+N14+N15+N16</f>
        <v>2118</v>
      </c>
      <c r="O12" s="572">
        <f t="shared" ref="O12:O39" si="8">IF(I12=0," ",(IF(C12=0," ",I12/C12*100)))</f>
        <v>96.862185994665396</v>
      </c>
      <c r="P12" s="570">
        <f t="shared" ref="P12:P39" si="9">IF(J12=0," ",(IF(D12=0," ",J12/D12*100)))</f>
        <v>95.328709297863369</v>
      </c>
      <c r="Q12" s="573">
        <f t="shared" ref="Q12:Q39" si="10">IF(K12=0," ",(IF(E12=0," ",K12/E12*100)))</f>
        <v>102.44586869911659</v>
      </c>
      <c r="R12" s="550"/>
      <c r="S12" s="550"/>
      <c r="T12" s="550"/>
      <c r="U12" s="550"/>
      <c r="V12" s="550"/>
      <c r="X12" s="240">
        <f t="shared" si="5"/>
        <v>408867</v>
      </c>
      <c r="Y12" s="50">
        <f>Y13+Y14+Y15+Y16</f>
        <v>329712</v>
      </c>
      <c r="Z12" s="50">
        <f>Z13+Z14+Z15+Z16</f>
        <v>79155</v>
      </c>
      <c r="AA12" s="49">
        <f t="shared" si="6"/>
        <v>389293</v>
      </c>
      <c r="AB12" s="50">
        <f>AB13+AB14+AB15+AB16</f>
        <v>300580</v>
      </c>
      <c r="AC12" s="210">
        <f>AC13+AC14+AC15+AC16</f>
        <v>88713</v>
      </c>
      <c r="AD12" s="49">
        <f t="shared" si="7"/>
        <v>-19574</v>
      </c>
      <c r="AE12" s="50">
        <f>AE13+AE14+AE15+AE16</f>
        <v>-29132</v>
      </c>
      <c r="AF12" s="210">
        <f>AF13+AF14+AF15+AF16</f>
        <v>9558</v>
      </c>
      <c r="AG12" s="240">
        <f t="shared" ref="AG12:AG20" si="11">AH12+AI12</f>
        <v>386175</v>
      </c>
      <c r="AH12" s="316">
        <f>AH13+AH14+AH15+AH16</f>
        <v>299580</v>
      </c>
      <c r="AI12" s="321">
        <f>AI13+AI14+AI15+AI16</f>
        <v>86595</v>
      </c>
    </row>
    <row r="13" spans="1:35" ht="15.95" customHeight="1" x14ac:dyDescent="0.2">
      <c r="A13" s="206"/>
      <c r="B13" s="56" t="s">
        <v>589</v>
      </c>
      <c r="C13" s="141">
        <f t="shared" si="0"/>
        <v>400079</v>
      </c>
      <c r="D13" s="142">
        <f>'ORJ - 10'!C12</f>
        <v>313484</v>
      </c>
      <c r="E13" s="142">
        <f>'ORJ - 10'!D14</f>
        <v>86595</v>
      </c>
      <c r="F13" s="141">
        <f t="shared" si="1"/>
        <v>401010.09</v>
      </c>
      <c r="G13" s="142">
        <f>'ORJ - 10'!F12</f>
        <v>314415.09000000003</v>
      </c>
      <c r="H13" s="142">
        <f>'ORJ - 10'!G14</f>
        <v>86595</v>
      </c>
      <c r="I13" s="141">
        <f t="shared" si="2"/>
        <v>388089</v>
      </c>
      <c r="J13" s="142">
        <f>'ORJ - 10'!I12</f>
        <v>299376</v>
      </c>
      <c r="K13" s="142">
        <f>'ORJ - 10'!I14</f>
        <v>88713</v>
      </c>
      <c r="L13" s="141">
        <f t="shared" si="3"/>
        <v>-11990</v>
      </c>
      <c r="M13" s="142">
        <f t="shared" ref="M13:N17" si="12">J13-D13</f>
        <v>-14108</v>
      </c>
      <c r="N13" s="211">
        <f t="shared" si="12"/>
        <v>2118</v>
      </c>
      <c r="O13" s="574">
        <f t="shared" si="8"/>
        <v>97.00309188935185</v>
      </c>
      <c r="P13" s="542">
        <f t="shared" si="9"/>
        <v>95.499610825432882</v>
      </c>
      <c r="Q13" s="557">
        <f t="shared" si="10"/>
        <v>102.44586869911659</v>
      </c>
      <c r="R13" s="422"/>
      <c r="S13" s="422"/>
      <c r="T13" s="422"/>
      <c r="U13" s="422"/>
      <c r="V13" s="422"/>
      <c r="X13" s="241">
        <f t="shared" si="5"/>
        <v>406241</v>
      </c>
      <c r="Y13" s="142">
        <v>327086</v>
      </c>
      <c r="Z13" s="142">
        <v>79155</v>
      </c>
      <c r="AA13" s="141">
        <f t="shared" si="6"/>
        <v>388089</v>
      </c>
      <c r="AB13" s="142">
        <f>J13</f>
        <v>299376</v>
      </c>
      <c r="AC13" s="211">
        <f>K13</f>
        <v>88713</v>
      </c>
      <c r="AD13" s="141">
        <f t="shared" si="7"/>
        <v>-18152</v>
      </c>
      <c r="AE13" s="142">
        <f>AB13-Y13</f>
        <v>-27710</v>
      </c>
      <c r="AF13" s="211">
        <f>AC13-Z13</f>
        <v>9558</v>
      </c>
      <c r="AG13" s="241">
        <f t="shared" si="11"/>
        <v>385450</v>
      </c>
      <c r="AH13" s="317">
        <v>298855</v>
      </c>
      <c r="AI13" s="322">
        <v>86595</v>
      </c>
    </row>
    <row r="14" spans="1:35" ht="15.95" customHeight="1" x14ac:dyDescent="0.2">
      <c r="A14" s="206"/>
      <c r="B14" s="56" t="s">
        <v>168</v>
      </c>
      <c r="C14" s="141">
        <f t="shared" si="0"/>
        <v>725</v>
      </c>
      <c r="D14" s="142">
        <f>'ORJ - 10'!C13</f>
        <v>725</v>
      </c>
      <c r="E14" s="142"/>
      <c r="F14" s="141">
        <f t="shared" si="1"/>
        <v>1066.9100000000001</v>
      </c>
      <c r="G14" s="142">
        <f>'ORJ - 10'!F13</f>
        <v>1066.9100000000001</v>
      </c>
      <c r="H14" s="142"/>
      <c r="I14" s="141">
        <f t="shared" si="2"/>
        <v>738</v>
      </c>
      <c r="J14" s="142">
        <f>'ORJ - 10'!I13</f>
        <v>738</v>
      </c>
      <c r="K14" s="142"/>
      <c r="L14" s="141">
        <f t="shared" si="3"/>
        <v>13</v>
      </c>
      <c r="M14" s="142">
        <f t="shared" si="12"/>
        <v>13</v>
      </c>
      <c r="N14" s="211">
        <f t="shared" si="12"/>
        <v>0</v>
      </c>
      <c r="O14" s="574">
        <f t="shared" si="8"/>
        <v>101.79310344827586</v>
      </c>
      <c r="P14" s="542">
        <f t="shared" si="9"/>
        <v>101.79310344827586</v>
      </c>
      <c r="Q14" s="557" t="str">
        <f t="shared" si="10"/>
        <v xml:space="preserve"> </v>
      </c>
      <c r="R14" s="422"/>
      <c r="S14" s="422"/>
      <c r="T14" s="422"/>
      <c r="U14" s="422"/>
      <c r="V14" s="422"/>
      <c r="X14" s="241">
        <f t="shared" si="5"/>
        <v>809</v>
      </c>
      <c r="Y14" s="142">
        <v>809</v>
      </c>
      <c r="Z14" s="142"/>
      <c r="AA14" s="141">
        <f t="shared" si="6"/>
        <v>738</v>
      </c>
      <c r="AB14" s="142">
        <f t="shared" ref="AB14:AB16" si="13">J14</f>
        <v>738</v>
      </c>
      <c r="AC14" s="211"/>
      <c r="AD14" s="141">
        <f t="shared" si="7"/>
        <v>-71</v>
      </c>
      <c r="AE14" s="142">
        <f t="shared" ref="AE14:AE16" si="14">AB14-Y14</f>
        <v>-71</v>
      </c>
      <c r="AF14" s="211"/>
      <c r="AG14" s="241">
        <f t="shared" si="11"/>
        <v>725</v>
      </c>
      <c r="AH14" s="317">
        <v>725</v>
      </c>
      <c r="AI14" s="322"/>
    </row>
    <row r="15" spans="1:35" ht="15.95" customHeight="1" x14ac:dyDescent="0.2">
      <c r="A15" s="206"/>
      <c r="B15" s="56" t="s">
        <v>167</v>
      </c>
      <c r="C15" s="141">
        <f t="shared" si="0"/>
        <v>1100</v>
      </c>
      <c r="D15" s="142">
        <f>'ORJ - 10'!C15</f>
        <v>1100</v>
      </c>
      <c r="E15" s="142"/>
      <c r="F15" s="141">
        <f t="shared" si="1"/>
        <v>693.91</v>
      </c>
      <c r="G15" s="142">
        <f>'ORJ - 10'!F15</f>
        <v>693.91</v>
      </c>
      <c r="H15" s="142"/>
      <c r="I15" s="141">
        <f t="shared" si="2"/>
        <v>466</v>
      </c>
      <c r="J15" s="142">
        <f>'ORJ - 10'!I15</f>
        <v>466</v>
      </c>
      <c r="K15" s="142"/>
      <c r="L15" s="141">
        <f t="shared" si="3"/>
        <v>-634</v>
      </c>
      <c r="M15" s="142">
        <f t="shared" si="12"/>
        <v>-634</v>
      </c>
      <c r="N15" s="211">
        <f t="shared" si="12"/>
        <v>0</v>
      </c>
      <c r="O15" s="574">
        <f t="shared" si="8"/>
        <v>42.363636363636367</v>
      </c>
      <c r="P15" s="542">
        <f t="shared" si="9"/>
        <v>42.363636363636367</v>
      </c>
      <c r="Q15" s="557" t="str">
        <f t="shared" si="10"/>
        <v xml:space="preserve"> </v>
      </c>
      <c r="R15" s="422"/>
      <c r="S15" s="422"/>
      <c r="T15" s="422"/>
      <c r="U15" s="422"/>
      <c r="V15" s="422"/>
      <c r="X15" s="241">
        <f t="shared" si="5"/>
        <v>886</v>
      </c>
      <c r="Y15" s="142">
        <v>886</v>
      </c>
      <c r="Z15" s="142"/>
      <c r="AA15" s="141">
        <f t="shared" si="6"/>
        <v>466</v>
      </c>
      <c r="AB15" s="142">
        <f t="shared" si="13"/>
        <v>466</v>
      </c>
      <c r="AC15" s="211"/>
      <c r="AD15" s="141">
        <f t="shared" si="7"/>
        <v>-420</v>
      </c>
      <c r="AE15" s="142">
        <f t="shared" si="14"/>
        <v>-420</v>
      </c>
      <c r="AF15" s="211"/>
      <c r="AG15" s="241">
        <f t="shared" si="11"/>
        <v>0</v>
      </c>
      <c r="AH15" s="317"/>
      <c r="AI15" s="322"/>
    </row>
    <row r="16" spans="1:35" ht="15.95" customHeight="1" x14ac:dyDescent="0.2">
      <c r="A16" s="206"/>
      <c r="B16" s="56" t="s">
        <v>176</v>
      </c>
      <c r="C16" s="141">
        <f t="shared" si="0"/>
        <v>0</v>
      </c>
      <c r="D16" s="142">
        <v>0</v>
      </c>
      <c r="E16" s="142"/>
      <c r="F16" s="141">
        <f t="shared" si="1"/>
        <v>0</v>
      </c>
      <c r="G16" s="142">
        <v>0</v>
      </c>
      <c r="H16" s="142"/>
      <c r="I16" s="141">
        <f t="shared" si="2"/>
        <v>0</v>
      </c>
      <c r="J16" s="142">
        <f>0</f>
        <v>0</v>
      </c>
      <c r="K16" s="142"/>
      <c r="L16" s="141">
        <f t="shared" si="3"/>
        <v>0</v>
      </c>
      <c r="M16" s="142">
        <f t="shared" si="12"/>
        <v>0</v>
      </c>
      <c r="N16" s="211">
        <f t="shared" si="12"/>
        <v>0</v>
      </c>
      <c r="O16" s="574" t="str">
        <f t="shared" si="8"/>
        <v xml:space="preserve"> </v>
      </c>
      <c r="P16" s="542" t="str">
        <f t="shared" si="9"/>
        <v xml:space="preserve"> </v>
      </c>
      <c r="Q16" s="557" t="str">
        <f t="shared" si="10"/>
        <v xml:space="preserve"> </v>
      </c>
      <c r="R16" s="422"/>
      <c r="S16" s="422"/>
      <c r="T16" s="422"/>
      <c r="U16" s="422"/>
      <c r="V16" s="422"/>
      <c r="X16" s="241">
        <f t="shared" si="5"/>
        <v>931</v>
      </c>
      <c r="Y16" s="142">
        <v>931</v>
      </c>
      <c r="Z16" s="142"/>
      <c r="AA16" s="141">
        <f t="shared" si="6"/>
        <v>0</v>
      </c>
      <c r="AB16" s="142">
        <f t="shared" si="13"/>
        <v>0</v>
      </c>
      <c r="AC16" s="211"/>
      <c r="AD16" s="141">
        <f t="shared" si="7"/>
        <v>-931</v>
      </c>
      <c r="AE16" s="142">
        <f t="shared" si="14"/>
        <v>-931</v>
      </c>
      <c r="AF16" s="211"/>
      <c r="AG16" s="241">
        <f t="shared" si="11"/>
        <v>0</v>
      </c>
      <c r="AH16" s="317">
        <v>0</v>
      </c>
      <c r="AI16" s="322"/>
    </row>
    <row r="17" spans="1:35" ht="15.95" customHeight="1" thickBot="1" x14ac:dyDescent="0.3">
      <c r="A17" s="206"/>
      <c r="B17" s="51" t="s">
        <v>166</v>
      </c>
      <c r="C17" s="49">
        <f t="shared" si="0"/>
        <v>95</v>
      </c>
      <c r="D17" s="50">
        <f>'ORJ - 10'!C18</f>
        <v>95</v>
      </c>
      <c r="E17" s="50"/>
      <c r="F17" s="49">
        <f t="shared" si="1"/>
        <v>95</v>
      </c>
      <c r="G17" s="50">
        <f>'ORJ - 10'!F18</f>
        <v>95</v>
      </c>
      <c r="H17" s="50"/>
      <c r="I17" s="49">
        <f t="shared" si="2"/>
        <v>101</v>
      </c>
      <c r="J17" s="50">
        <f>'ORJ - 10'!I18</f>
        <v>101</v>
      </c>
      <c r="K17" s="50"/>
      <c r="L17" s="52">
        <f t="shared" si="3"/>
        <v>6</v>
      </c>
      <c r="M17" s="147">
        <f t="shared" si="12"/>
        <v>6</v>
      </c>
      <c r="N17" s="212">
        <f t="shared" si="12"/>
        <v>0</v>
      </c>
      <c r="O17" s="572">
        <f t="shared" si="8"/>
        <v>106.31578947368421</v>
      </c>
      <c r="P17" s="570">
        <f t="shared" si="9"/>
        <v>106.31578947368421</v>
      </c>
      <c r="Q17" s="573" t="str">
        <f t="shared" si="10"/>
        <v xml:space="preserve"> </v>
      </c>
      <c r="R17" s="422"/>
      <c r="S17" s="422"/>
      <c r="T17" s="422"/>
      <c r="U17" s="422"/>
      <c r="V17" s="422"/>
      <c r="X17" s="240">
        <f t="shared" si="5"/>
        <v>519</v>
      </c>
      <c r="Y17" s="50">
        <v>519</v>
      </c>
      <c r="Z17" s="50"/>
      <c r="AA17" s="49">
        <f t="shared" si="6"/>
        <v>101</v>
      </c>
      <c r="AB17" s="50">
        <f>J17</f>
        <v>101</v>
      </c>
      <c r="AC17" s="210"/>
      <c r="AD17" s="49">
        <f t="shared" si="7"/>
        <v>-418</v>
      </c>
      <c r="AE17" s="50">
        <f>AB17-Y17</f>
        <v>-418</v>
      </c>
      <c r="AF17" s="210"/>
      <c r="AG17" s="240">
        <f t="shared" si="11"/>
        <v>95</v>
      </c>
      <c r="AH17" s="316">
        <v>95</v>
      </c>
      <c r="AI17" s="321"/>
    </row>
    <row r="18" spans="1:35" ht="15.95" customHeight="1" x14ac:dyDescent="0.25">
      <c r="A18" s="206"/>
      <c r="B18" s="80" t="s">
        <v>175</v>
      </c>
      <c r="C18" s="81">
        <f t="shared" si="0"/>
        <v>256246</v>
      </c>
      <c r="D18" s="143">
        <f>SUM(D19:D20)</f>
        <v>224610</v>
      </c>
      <c r="E18" s="143">
        <f>SUM(E19:E20)</f>
        <v>31636</v>
      </c>
      <c r="F18" s="81">
        <f t="shared" si="1"/>
        <v>263603</v>
      </c>
      <c r="G18" s="143">
        <f>SUM(G19:G20)</f>
        <v>231967</v>
      </c>
      <c r="H18" s="143">
        <f>SUM(H19:H20)</f>
        <v>31636</v>
      </c>
      <c r="I18" s="81">
        <f t="shared" si="2"/>
        <v>235000</v>
      </c>
      <c r="J18" s="143">
        <f>SUM(J19:J20)</f>
        <v>203426</v>
      </c>
      <c r="K18" s="143">
        <f>SUM(K19:K20)</f>
        <v>31574</v>
      </c>
      <c r="L18" s="81">
        <f t="shared" si="3"/>
        <v>-21246</v>
      </c>
      <c r="M18" s="143">
        <f>SUM(M19:M20)</f>
        <v>-21184</v>
      </c>
      <c r="N18" s="209">
        <f>SUM(N19:N20)</f>
        <v>-62</v>
      </c>
      <c r="O18" s="555">
        <f t="shared" si="8"/>
        <v>91.708748624368781</v>
      </c>
      <c r="P18" s="541">
        <f t="shared" si="9"/>
        <v>90.568541026668441</v>
      </c>
      <c r="Q18" s="556">
        <f t="shared" si="10"/>
        <v>99.804020735870523</v>
      </c>
      <c r="R18" s="422"/>
      <c r="S18" s="422"/>
      <c r="T18" s="422"/>
      <c r="U18" s="422"/>
      <c r="V18" s="422"/>
      <c r="X18" s="239">
        <f t="shared" si="5"/>
        <v>206032</v>
      </c>
      <c r="Y18" s="143">
        <f>SUM(Y19:Y20)</f>
        <v>178386</v>
      </c>
      <c r="Z18" s="143">
        <f>SUM(Z19:Z20)</f>
        <v>27646</v>
      </c>
      <c r="AA18" s="81">
        <f t="shared" si="6"/>
        <v>235000</v>
      </c>
      <c r="AB18" s="143">
        <f>SUM(AB19:AB20)</f>
        <v>203426</v>
      </c>
      <c r="AC18" s="209">
        <f>SUM(AC19:AC20)</f>
        <v>31574</v>
      </c>
      <c r="AD18" s="81">
        <f t="shared" si="7"/>
        <v>28968</v>
      </c>
      <c r="AE18" s="143">
        <f>SUM(AE19:AE20)</f>
        <v>25040</v>
      </c>
      <c r="AF18" s="209">
        <f>SUM(AF19:AF20)</f>
        <v>3928</v>
      </c>
      <c r="AG18" s="239">
        <f t="shared" si="11"/>
        <v>245016</v>
      </c>
      <c r="AH18" s="143">
        <f>SUM(AH19:AH20)</f>
        <v>213380</v>
      </c>
      <c r="AI18" s="209">
        <f>SUM(AI19:AI20)</f>
        <v>31636</v>
      </c>
    </row>
    <row r="19" spans="1:35" ht="15.95" customHeight="1" x14ac:dyDescent="0.2">
      <c r="A19" s="206"/>
      <c r="B19" s="56" t="s">
        <v>169</v>
      </c>
      <c r="C19" s="141">
        <f t="shared" si="0"/>
        <v>171121</v>
      </c>
      <c r="D19" s="142">
        <f>'Celkem ORJ - 11'!C12</f>
        <v>139485</v>
      </c>
      <c r="E19" s="142">
        <f>'Celkem ORJ - 11'!C14</f>
        <v>31636</v>
      </c>
      <c r="F19" s="141">
        <f t="shared" si="1"/>
        <v>190861</v>
      </c>
      <c r="G19" s="142">
        <f>'Celkem ORJ - 11'!F12</f>
        <v>159225</v>
      </c>
      <c r="H19" s="142">
        <f>'Celkem ORJ - 11'!F14</f>
        <v>31636</v>
      </c>
      <c r="I19" s="141">
        <f t="shared" si="2"/>
        <v>145880</v>
      </c>
      <c r="J19" s="142">
        <f>'Celkem ORJ - 11'!I12</f>
        <v>114306</v>
      </c>
      <c r="K19" s="142">
        <f>'Celkem ORJ - 11'!I14</f>
        <v>31574</v>
      </c>
      <c r="L19" s="141">
        <f t="shared" si="3"/>
        <v>-25241</v>
      </c>
      <c r="M19" s="142">
        <f>J19-D19</f>
        <v>-25179</v>
      </c>
      <c r="N19" s="211">
        <f>K19-E19</f>
        <v>-62</v>
      </c>
      <c r="O19" s="574">
        <f t="shared" si="8"/>
        <v>85.249618690867862</v>
      </c>
      <c r="P19" s="542">
        <f t="shared" si="9"/>
        <v>81.948596623292829</v>
      </c>
      <c r="Q19" s="557">
        <f t="shared" si="10"/>
        <v>99.804020735870523</v>
      </c>
      <c r="R19" s="422"/>
      <c r="S19" s="422"/>
      <c r="T19" s="422"/>
      <c r="U19" s="422"/>
      <c r="V19" s="422"/>
      <c r="X19" s="241">
        <f t="shared" si="5"/>
        <v>199032</v>
      </c>
      <c r="Y19" s="142">
        <v>171386</v>
      </c>
      <c r="Z19" s="142">
        <v>27646</v>
      </c>
      <c r="AA19" s="141">
        <f t="shared" si="6"/>
        <v>145880</v>
      </c>
      <c r="AB19" s="142">
        <f>J19</f>
        <v>114306</v>
      </c>
      <c r="AC19" s="211">
        <f>K19</f>
        <v>31574</v>
      </c>
      <c r="AD19" s="141">
        <f t="shared" si="7"/>
        <v>-53152</v>
      </c>
      <c r="AE19" s="142">
        <f>AB19-Y19</f>
        <v>-57080</v>
      </c>
      <c r="AF19" s="211">
        <f>AC19-Z19</f>
        <v>3928</v>
      </c>
      <c r="AG19" s="241">
        <f t="shared" si="11"/>
        <v>245016</v>
      </c>
      <c r="AH19" s="317">
        <v>213380</v>
      </c>
      <c r="AI19" s="322">
        <v>31636</v>
      </c>
    </row>
    <row r="20" spans="1:35" ht="15.95" customHeight="1" thickBot="1" x14ac:dyDescent="0.25">
      <c r="A20" s="206"/>
      <c r="B20" s="56" t="s">
        <v>167</v>
      </c>
      <c r="C20" s="141">
        <f t="shared" si="0"/>
        <v>85125</v>
      </c>
      <c r="D20" s="142">
        <f>'Celkem ORJ - 11'!C15</f>
        <v>85125</v>
      </c>
      <c r="E20" s="142"/>
      <c r="F20" s="141">
        <f t="shared" si="1"/>
        <v>72742</v>
      </c>
      <c r="G20" s="142">
        <f>'Celkem ORJ - 11'!F15</f>
        <v>72742</v>
      </c>
      <c r="H20" s="142"/>
      <c r="I20" s="141">
        <f t="shared" si="2"/>
        <v>89120</v>
      </c>
      <c r="J20" s="142">
        <f>'Celkem ORJ - 11'!I15</f>
        <v>89120</v>
      </c>
      <c r="K20" s="142"/>
      <c r="L20" s="141">
        <f t="shared" si="3"/>
        <v>3995</v>
      </c>
      <c r="M20" s="142">
        <f>J20-D20</f>
        <v>3995</v>
      </c>
      <c r="N20" s="211">
        <f>K20-E20</f>
        <v>0</v>
      </c>
      <c r="O20" s="574">
        <f t="shared" si="8"/>
        <v>104.69309838472833</v>
      </c>
      <c r="P20" s="542">
        <f t="shared" si="9"/>
        <v>104.69309838472833</v>
      </c>
      <c r="Q20" s="557" t="str">
        <f t="shared" si="10"/>
        <v xml:space="preserve"> </v>
      </c>
      <c r="R20" s="422"/>
      <c r="S20" s="422"/>
      <c r="T20" s="422"/>
      <c r="U20" s="422"/>
      <c r="V20" s="422"/>
      <c r="X20" s="241">
        <f t="shared" si="5"/>
        <v>7000</v>
      </c>
      <c r="Y20" s="142">
        <v>7000</v>
      </c>
      <c r="Z20" s="142"/>
      <c r="AA20" s="141">
        <f t="shared" si="6"/>
        <v>89120</v>
      </c>
      <c r="AB20" s="142">
        <f>J20</f>
        <v>89120</v>
      </c>
      <c r="AC20" s="211"/>
      <c r="AD20" s="141">
        <f t="shared" si="7"/>
        <v>82120</v>
      </c>
      <c r="AE20" s="142">
        <f>AB20-Y20</f>
        <v>82120</v>
      </c>
      <c r="AF20" s="211"/>
      <c r="AG20" s="241">
        <f t="shared" si="11"/>
        <v>0</v>
      </c>
      <c r="AH20" s="317">
        <v>0</v>
      </c>
      <c r="AI20" s="322"/>
    </row>
    <row r="21" spans="1:35" ht="15.95" customHeight="1" x14ac:dyDescent="0.25">
      <c r="A21" s="206"/>
      <c r="B21" s="80" t="s">
        <v>174</v>
      </c>
      <c r="C21" s="81">
        <f>D21+E21</f>
        <v>520053</v>
      </c>
      <c r="D21" s="143">
        <f>D22+D23</f>
        <v>391923</v>
      </c>
      <c r="E21" s="143">
        <f>E22+E23</f>
        <v>128130</v>
      </c>
      <c r="F21" s="81">
        <f>G21+H21</f>
        <v>540053</v>
      </c>
      <c r="G21" s="143">
        <f>G22+G23</f>
        <v>411923</v>
      </c>
      <c r="H21" s="143">
        <f>H22+H23</f>
        <v>128130</v>
      </c>
      <c r="I21" s="81">
        <f>J21+K21</f>
        <v>491687</v>
      </c>
      <c r="J21" s="143">
        <f>J22+J23</f>
        <v>370540</v>
      </c>
      <c r="K21" s="143">
        <f>K22+K23</f>
        <v>121147</v>
      </c>
      <c r="L21" s="81">
        <f>M21+N21</f>
        <v>-28366</v>
      </c>
      <c r="M21" s="143">
        <f>M22+M23</f>
        <v>-21383</v>
      </c>
      <c r="N21" s="209">
        <f>N22+N23</f>
        <v>-6983</v>
      </c>
      <c r="O21" s="555">
        <f t="shared" si="8"/>
        <v>94.545555933722142</v>
      </c>
      <c r="P21" s="541">
        <f t="shared" si="9"/>
        <v>94.544081362920778</v>
      </c>
      <c r="Q21" s="556">
        <f t="shared" si="10"/>
        <v>94.550066338874586</v>
      </c>
      <c r="R21" s="422"/>
      <c r="S21" s="422"/>
      <c r="T21" s="422"/>
      <c r="U21" s="422"/>
      <c r="V21" s="422"/>
      <c r="X21" s="239">
        <f>Y21+Z21</f>
        <v>537671</v>
      </c>
      <c r="Y21" s="143">
        <f>Y22+Y23</f>
        <v>409505</v>
      </c>
      <c r="Z21" s="143">
        <f>Z22+Z23</f>
        <v>128166</v>
      </c>
      <c r="AA21" s="81">
        <f>AB21+AC21</f>
        <v>491687</v>
      </c>
      <c r="AB21" s="143">
        <f>AB22+AB23</f>
        <v>370540</v>
      </c>
      <c r="AC21" s="209">
        <f>AC22+AC23</f>
        <v>121147</v>
      </c>
      <c r="AD21" s="81">
        <f>AE21+AF21</f>
        <v>-45984</v>
      </c>
      <c r="AE21" s="143">
        <f>AE22+AE23</f>
        <v>-38965</v>
      </c>
      <c r="AF21" s="209">
        <f>AF22+AF23</f>
        <v>-7019</v>
      </c>
      <c r="AG21" s="239">
        <f>AH21+AI21</f>
        <v>500695</v>
      </c>
      <c r="AH21" s="143">
        <f>AH22+AH23</f>
        <v>372565</v>
      </c>
      <c r="AI21" s="209">
        <f>AI22+AI23</f>
        <v>128130</v>
      </c>
    </row>
    <row r="22" spans="1:35" ht="15.95" customHeight="1" x14ac:dyDescent="0.2">
      <c r="A22" s="206"/>
      <c r="B22" s="56" t="s">
        <v>589</v>
      </c>
      <c r="C22" s="141">
        <f t="shared" si="0"/>
        <v>515287</v>
      </c>
      <c r="D22" s="142">
        <f>'PO - doprava'!G14+'PO - doprava'!G16</f>
        <v>387157</v>
      </c>
      <c r="E22" s="142">
        <f>'PO - doprava'!J17</f>
        <v>128130</v>
      </c>
      <c r="F22" s="141">
        <f t="shared" si="1"/>
        <v>535287</v>
      </c>
      <c r="G22" s="142">
        <f>'PO - doprava'!L17</f>
        <v>407157</v>
      </c>
      <c r="H22" s="142">
        <f>'PO - doprava'!O17</f>
        <v>128130</v>
      </c>
      <c r="I22" s="141">
        <f t="shared" si="2"/>
        <v>486621</v>
      </c>
      <c r="J22" s="142">
        <f>'PO - doprava'!Q17</f>
        <v>365474</v>
      </c>
      <c r="K22" s="142">
        <f>'PO - doprava'!T17</f>
        <v>121147</v>
      </c>
      <c r="L22" s="141">
        <f>M22+N22</f>
        <v>-28666</v>
      </c>
      <c r="M22" s="142">
        <f>J22-D22</f>
        <v>-21683</v>
      </c>
      <c r="N22" s="211">
        <f>K22-E22</f>
        <v>-6983</v>
      </c>
      <c r="O22" s="574">
        <f t="shared" si="8"/>
        <v>94.43688662822855</v>
      </c>
      <c r="P22" s="542">
        <f t="shared" si="9"/>
        <v>94.399429688730933</v>
      </c>
      <c r="Q22" s="557">
        <f t="shared" si="10"/>
        <v>94.550066338874586</v>
      </c>
      <c r="R22" s="422"/>
      <c r="S22" s="422"/>
      <c r="T22" s="422"/>
      <c r="U22" s="422"/>
      <c r="V22" s="422"/>
      <c r="X22" s="241">
        <f t="shared" ref="X22:X23" si="15">Y22+Z22</f>
        <v>532905</v>
      </c>
      <c r="Y22" s="142">
        <v>404739</v>
      </c>
      <c r="Z22" s="142">
        <v>128166</v>
      </c>
      <c r="AA22" s="141">
        <f t="shared" ref="AA22:AA23" si="16">AB22+AC22</f>
        <v>486621</v>
      </c>
      <c r="AB22" s="142">
        <f>J22</f>
        <v>365474</v>
      </c>
      <c r="AC22" s="211">
        <f>K22</f>
        <v>121147</v>
      </c>
      <c r="AD22" s="141">
        <f t="shared" ref="AD22:AD23" si="17">AE22+AF22</f>
        <v>-46284</v>
      </c>
      <c r="AE22" s="142">
        <f>AB22-Y22</f>
        <v>-39265</v>
      </c>
      <c r="AF22" s="211">
        <f>AC22-Z22</f>
        <v>-7019</v>
      </c>
      <c r="AG22" s="241">
        <f t="shared" ref="AG22:AG23" si="18">AH22+AI22</f>
        <v>495929</v>
      </c>
      <c r="AH22" s="317">
        <v>367799</v>
      </c>
      <c r="AI22" s="322">
        <v>128130</v>
      </c>
    </row>
    <row r="23" spans="1:35" ht="15.95" customHeight="1" thickBot="1" x14ac:dyDescent="0.25">
      <c r="A23" s="206"/>
      <c r="B23" s="56" t="s">
        <v>168</v>
      </c>
      <c r="C23" s="141">
        <f t="shared" si="0"/>
        <v>4766</v>
      </c>
      <c r="D23" s="142">
        <f>'PO - doprava'!H17</f>
        <v>4766</v>
      </c>
      <c r="E23" s="142"/>
      <c r="F23" s="141">
        <f t="shared" si="1"/>
        <v>4766</v>
      </c>
      <c r="G23" s="142">
        <f>'PO - doprava'!M17</f>
        <v>4766</v>
      </c>
      <c r="H23" s="142"/>
      <c r="I23" s="141">
        <f t="shared" si="2"/>
        <v>5066</v>
      </c>
      <c r="J23" s="142">
        <f>'PO - doprava'!R17</f>
        <v>5066</v>
      </c>
      <c r="K23" s="142"/>
      <c r="L23" s="141">
        <f>M23+N23</f>
        <v>300</v>
      </c>
      <c r="M23" s="142">
        <f>J23-D23</f>
        <v>300</v>
      </c>
      <c r="N23" s="211">
        <f>K23-E23</f>
        <v>0</v>
      </c>
      <c r="O23" s="574">
        <f t="shared" si="8"/>
        <v>106.29458665547628</v>
      </c>
      <c r="P23" s="542">
        <f t="shared" si="9"/>
        <v>106.29458665547628</v>
      </c>
      <c r="Q23" s="557" t="str">
        <f t="shared" si="10"/>
        <v xml:space="preserve"> </v>
      </c>
      <c r="R23" s="422"/>
      <c r="S23" s="422"/>
      <c r="T23" s="422"/>
      <c r="U23" s="422"/>
      <c r="V23" s="422"/>
      <c r="X23" s="241">
        <f t="shared" si="15"/>
        <v>4766</v>
      </c>
      <c r="Y23" s="142">
        <v>4766</v>
      </c>
      <c r="Z23" s="142"/>
      <c r="AA23" s="141">
        <f t="shared" si="16"/>
        <v>5066</v>
      </c>
      <c r="AB23" s="142">
        <f>J23</f>
        <v>5066</v>
      </c>
      <c r="AC23" s="211"/>
      <c r="AD23" s="141">
        <f t="shared" si="17"/>
        <v>300</v>
      </c>
      <c r="AE23" s="142">
        <f>AB23-Y23</f>
        <v>300</v>
      </c>
      <c r="AF23" s="211"/>
      <c r="AG23" s="241">
        <f t="shared" si="18"/>
        <v>4766</v>
      </c>
      <c r="AH23" s="317">
        <v>4766</v>
      </c>
      <c r="AI23" s="322"/>
    </row>
    <row r="24" spans="1:35" ht="15.95" customHeight="1" x14ac:dyDescent="0.25">
      <c r="A24" s="206"/>
      <c r="B24" s="80" t="s">
        <v>0</v>
      </c>
      <c r="C24" s="81">
        <f t="shared" ref="C24:N24" si="19">C25+C32</f>
        <v>126079</v>
      </c>
      <c r="D24" s="143">
        <f t="shared" si="19"/>
        <v>113038</v>
      </c>
      <c r="E24" s="143">
        <f t="shared" si="19"/>
        <v>13041</v>
      </c>
      <c r="F24" s="81">
        <f t="shared" si="19"/>
        <v>128713</v>
      </c>
      <c r="G24" s="143">
        <f t="shared" si="19"/>
        <v>115030</v>
      </c>
      <c r="H24" s="143">
        <f t="shared" si="19"/>
        <v>13683</v>
      </c>
      <c r="I24" s="81">
        <f t="shared" si="19"/>
        <v>123966</v>
      </c>
      <c r="J24" s="143">
        <f t="shared" si="19"/>
        <v>109429</v>
      </c>
      <c r="K24" s="143">
        <f t="shared" si="19"/>
        <v>14537</v>
      </c>
      <c r="L24" s="81">
        <f t="shared" si="19"/>
        <v>-2113</v>
      </c>
      <c r="M24" s="143">
        <f t="shared" si="19"/>
        <v>-3609</v>
      </c>
      <c r="N24" s="209">
        <f t="shared" si="19"/>
        <v>1496</v>
      </c>
      <c r="O24" s="555">
        <f t="shared" si="8"/>
        <v>98.324066656620062</v>
      </c>
      <c r="P24" s="541">
        <f t="shared" si="9"/>
        <v>96.807268352235525</v>
      </c>
      <c r="Q24" s="556">
        <f t="shared" si="10"/>
        <v>111.47151292078827</v>
      </c>
      <c r="R24" s="422"/>
      <c r="S24" s="422"/>
      <c r="T24" s="422"/>
      <c r="U24" s="422"/>
      <c r="V24" s="422"/>
      <c r="X24" s="239">
        <f t="shared" ref="X24:Z24" si="20">X25+X32</f>
        <v>130281</v>
      </c>
      <c r="Y24" s="143">
        <f t="shared" si="20"/>
        <v>117792</v>
      </c>
      <c r="Z24" s="143">
        <f t="shared" si="20"/>
        <v>12489</v>
      </c>
      <c r="AA24" s="81">
        <f t="shared" ref="AA24:AC24" si="21">AA25+AA32</f>
        <v>123966</v>
      </c>
      <c r="AB24" s="143">
        <f t="shared" si="21"/>
        <v>109429</v>
      </c>
      <c r="AC24" s="209">
        <f t="shared" si="21"/>
        <v>14537</v>
      </c>
      <c r="AD24" s="81" t="e">
        <f t="shared" ref="AD24:AF24" si="22">AD25+AD32</f>
        <v>#VALUE!</v>
      </c>
      <c r="AE24" s="143" t="e">
        <f t="shared" si="22"/>
        <v>#VALUE!</v>
      </c>
      <c r="AF24" s="209">
        <f t="shared" si="22"/>
        <v>2048</v>
      </c>
      <c r="AG24" s="239">
        <f t="shared" ref="AG24" si="23">AG25+AG32</f>
        <v>123366</v>
      </c>
      <c r="AH24" s="143">
        <f>AH25+AH32</f>
        <v>110325</v>
      </c>
      <c r="AI24" s="209">
        <f>AI25+AI32</f>
        <v>13041</v>
      </c>
    </row>
    <row r="25" spans="1:35" ht="15.95" customHeight="1" x14ac:dyDescent="0.25">
      <c r="A25" s="206"/>
      <c r="B25" s="51" t="s">
        <v>170</v>
      </c>
      <c r="C25" s="49">
        <f t="shared" ref="C25:C38" si="24">D25+E25</f>
        <v>124477</v>
      </c>
      <c r="D25" s="50">
        <f>SUM(D26:D31)</f>
        <v>111436</v>
      </c>
      <c r="E25" s="50">
        <f>SUM(E26:E31)</f>
        <v>13041</v>
      </c>
      <c r="F25" s="49">
        <f t="shared" ref="F25:F38" si="25">G25+H25</f>
        <v>127111</v>
      </c>
      <c r="G25" s="50">
        <f>SUM(G26:G31)</f>
        <v>113428</v>
      </c>
      <c r="H25" s="50">
        <f>SUM(H26:H31)</f>
        <v>13683</v>
      </c>
      <c r="I25" s="49">
        <f t="shared" ref="I25:I38" si="26">J25+K25</f>
        <v>122370</v>
      </c>
      <c r="J25" s="50">
        <f>SUM(J26:J31)</f>
        <v>107833</v>
      </c>
      <c r="K25" s="50">
        <f>SUM(K26:K31)</f>
        <v>14537</v>
      </c>
      <c r="L25" s="49">
        <f t="shared" ref="L25:L38" si="27">M25+N25</f>
        <v>-2107</v>
      </c>
      <c r="M25" s="50">
        <f>SUM(M26:M31)</f>
        <v>-3603</v>
      </c>
      <c r="N25" s="210">
        <f>SUM(N26:N31)</f>
        <v>1496</v>
      </c>
      <c r="O25" s="572">
        <f t="shared" si="8"/>
        <v>98.307317817749464</v>
      </c>
      <c r="P25" s="570">
        <f t="shared" si="9"/>
        <v>96.766754011271033</v>
      </c>
      <c r="Q25" s="573">
        <f t="shared" si="10"/>
        <v>111.47151292078827</v>
      </c>
      <c r="R25" s="550"/>
      <c r="S25" s="550"/>
      <c r="T25" s="550"/>
      <c r="U25" s="550"/>
      <c r="V25" s="550"/>
      <c r="X25" s="240">
        <f t="shared" ref="X25:X38" si="28">Y25+Z25</f>
        <v>128685</v>
      </c>
      <c r="Y25" s="50">
        <f>SUM(Y26:Y31)</f>
        <v>116196</v>
      </c>
      <c r="Z25" s="50">
        <f>SUM(Z26:Z31)</f>
        <v>12489</v>
      </c>
      <c r="AA25" s="49">
        <f t="shared" ref="AA25:AA38" si="29">AB25+AC25</f>
        <v>122370</v>
      </c>
      <c r="AB25" s="50">
        <f>SUM(AB26:AB31)</f>
        <v>107833</v>
      </c>
      <c r="AC25" s="210">
        <f>SUM(AC26:AC31)</f>
        <v>14537</v>
      </c>
      <c r="AD25" s="49" t="e">
        <f t="shared" ref="AD25:AD38" si="30">AE25+AF25</f>
        <v>#VALUE!</v>
      </c>
      <c r="AE25" s="50" t="e">
        <f>SUM(AE26:AE31)</f>
        <v>#VALUE!</v>
      </c>
      <c r="AF25" s="210">
        <f>SUM(AF26:AF31)</f>
        <v>2048</v>
      </c>
      <c r="AG25" s="240">
        <f t="shared" ref="AG25:AG38" si="31">AH25+AI25</f>
        <v>121764</v>
      </c>
      <c r="AH25" s="50">
        <f>SUM(AH26:AH31)</f>
        <v>108723</v>
      </c>
      <c r="AI25" s="210">
        <f>SUM(AI26:AI31)</f>
        <v>13041</v>
      </c>
    </row>
    <row r="26" spans="1:35" ht="15.95" customHeight="1" x14ac:dyDescent="0.2">
      <c r="A26" s="206"/>
      <c r="B26" s="56" t="s">
        <v>590</v>
      </c>
      <c r="C26" s="141">
        <f t="shared" si="24"/>
        <v>60711</v>
      </c>
      <c r="D26" s="142">
        <f>'Celkem ORJ 13'!D13</f>
        <v>47670</v>
      </c>
      <c r="E26" s="142">
        <f>'Celkem ORJ 13'!D16</f>
        <v>13041</v>
      </c>
      <c r="F26" s="141">
        <f t="shared" si="25"/>
        <v>62719</v>
      </c>
      <c r="G26" s="142">
        <f>'Celkem ORJ 13'!G13</f>
        <v>49036</v>
      </c>
      <c r="H26" s="142">
        <f>'Celkem ORJ 13'!F16</f>
        <v>13683</v>
      </c>
      <c r="I26" s="141">
        <f t="shared" si="26"/>
        <v>58501</v>
      </c>
      <c r="J26" s="142">
        <f>'Celkem ORJ 13'!J13</f>
        <v>43964</v>
      </c>
      <c r="K26" s="142">
        <f>'Celkem ORJ 13'!J16</f>
        <v>14537</v>
      </c>
      <c r="L26" s="141">
        <f t="shared" si="27"/>
        <v>-2210</v>
      </c>
      <c r="M26" s="142">
        <f t="shared" ref="M26:N32" si="32">J26-D26</f>
        <v>-3706</v>
      </c>
      <c r="N26" s="211">
        <f t="shared" si="32"/>
        <v>1496</v>
      </c>
      <c r="O26" s="574">
        <f t="shared" si="8"/>
        <v>96.3598030011036</v>
      </c>
      <c r="P26" s="542">
        <f t="shared" si="9"/>
        <v>92.225718481225101</v>
      </c>
      <c r="Q26" s="557">
        <f t="shared" si="10"/>
        <v>111.47151292078827</v>
      </c>
      <c r="R26" s="422"/>
      <c r="S26" s="422"/>
      <c r="T26" s="422"/>
      <c r="U26" s="422"/>
      <c r="V26" s="422"/>
      <c r="X26" s="241">
        <f t="shared" si="28"/>
        <v>65498</v>
      </c>
      <c r="Y26" s="142">
        <v>53009</v>
      </c>
      <c r="Z26" s="142">
        <v>12489</v>
      </c>
      <c r="AA26" s="141">
        <f t="shared" si="29"/>
        <v>58501</v>
      </c>
      <c r="AB26" s="142">
        <f>J26</f>
        <v>43964</v>
      </c>
      <c r="AC26" s="211">
        <f>K26</f>
        <v>14537</v>
      </c>
      <c r="AD26" s="141">
        <f t="shared" si="30"/>
        <v>-6997</v>
      </c>
      <c r="AE26" s="142">
        <f>AB26-Y26</f>
        <v>-9045</v>
      </c>
      <c r="AF26" s="211">
        <f>AC26-Z26</f>
        <v>2048</v>
      </c>
      <c r="AG26" s="241">
        <f t="shared" si="31"/>
        <v>58613</v>
      </c>
      <c r="AH26" s="317">
        <v>45572</v>
      </c>
      <c r="AI26" s="322">
        <v>13041</v>
      </c>
    </row>
    <row r="27" spans="1:35" ht="15.95" customHeight="1" x14ac:dyDescent="0.2">
      <c r="A27" s="206"/>
      <c r="B27" s="56" t="s">
        <v>168</v>
      </c>
      <c r="C27" s="141">
        <f t="shared" si="24"/>
        <v>62866</v>
      </c>
      <c r="D27" s="142">
        <f>'Celkem ORJ 13'!D14</f>
        <v>62866</v>
      </c>
      <c r="E27" s="142"/>
      <c r="F27" s="141">
        <f t="shared" si="25"/>
        <v>63171</v>
      </c>
      <c r="G27" s="142">
        <f>'Celkem ORJ 13'!G14</f>
        <v>63171</v>
      </c>
      <c r="H27" s="142"/>
      <c r="I27" s="141">
        <f t="shared" si="26"/>
        <v>63584</v>
      </c>
      <c r="J27" s="142">
        <f>'Celkem ORJ 13'!J14</f>
        <v>63584</v>
      </c>
      <c r="K27" s="142"/>
      <c r="L27" s="141">
        <f t="shared" si="27"/>
        <v>718</v>
      </c>
      <c r="M27" s="142">
        <f t="shared" si="32"/>
        <v>718</v>
      </c>
      <c r="N27" s="211">
        <f t="shared" si="32"/>
        <v>0</v>
      </c>
      <c r="O27" s="574">
        <f t="shared" si="8"/>
        <v>101.1421117933382</v>
      </c>
      <c r="P27" s="542">
        <f t="shared" si="9"/>
        <v>101.1421117933382</v>
      </c>
      <c r="Q27" s="557" t="str">
        <f t="shared" si="10"/>
        <v xml:space="preserve"> </v>
      </c>
      <c r="R27" s="422"/>
      <c r="S27" s="422"/>
      <c r="T27" s="422"/>
      <c r="U27" s="422"/>
      <c r="V27" s="422"/>
      <c r="X27" s="241">
        <f t="shared" si="28"/>
        <v>61387</v>
      </c>
      <c r="Y27" s="142">
        <v>61387</v>
      </c>
      <c r="Z27" s="142"/>
      <c r="AA27" s="141">
        <f t="shared" si="29"/>
        <v>63584</v>
      </c>
      <c r="AB27" s="142">
        <f t="shared" ref="AB27:AB31" si="33">J27</f>
        <v>63584</v>
      </c>
      <c r="AC27" s="211"/>
      <c r="AD27" s="141">
        <f t="shared" si="30"/>
        <v>2197</v>
      </c>
      <c r="AE27" s="142">
        <f t="shared" ref="AE27:AE31" si="34">AB27-Y27</f>
        <v>2197</v>
      </c>
      <c r="AF27" s="211"/>
      <c r="AG27" s="241">
        <f t="shared" si="31"/>
        <v>62866</v>
      </c>
      <c r="AH27" s="317">
        <v>62866</v>
      </c>
      <c r="AI27" s="322"/>
    </row>
    <row r="28" spans="1:35" ht="15.95" customHeight="1" x14ac:dyDescent="0.2">
      <c r="A28" s="206"/>
      <c r="B28" s="56" t="s">
        <v>173</v>
      </c>
      <c r="C28" s="141">
        <f t="shared" si="24"/>
        <v>300</v>
      </c>
      <c r="D28" s="142">
        <f>'Celkem ORJ 13'!D15</f>
        <v>300</v>
      </c>
      <c r="E28" s="142"/>
      <c r="F28" s="141">
        <f t="shared" si="25"/>
        <v>1050</v>
      </c>
      <c r="G28" s="142">
        <f>'Celkem ORJ 13'!G15</f>
        <v>1050</v>
      </c>
      <c r="H28" s="142"/>
      <c r="I28" s="141">
        <f t="shared" si="26"/>
        <v>0</v>
      </c>
      <c r="J28" s="142">
        <f>'Celkem ORJ 13'!J15</f>
        <v>0</v>
      </c>
      <c r="K28" s="142"/>
      <c r="L28" s="141">
        <f t="shared" si="27"/>
        <v>-300</v>
      </c>
      <c r="M28" s="142">
        <f t="shared" si="32"/>
        <v>-300</v>
      </c>
      <c r="N28" s="211">
        <f t="shared" si="32"/>
        <v>0</v>
      </c>
      <c r="O28" s="574" t="str">
        <f t="shared" si="8"/>
        <v xml:space="preserve"> </v>
      </c>
      <c r="P28" s="542" t="str">
        <f t="shared" si="9"/>
        <v xml:space="preserve"> </v>
      </c>
      <c r="Q28" s="557" t="str">
        <f t="shared" si="10"/>
        <v xml:space="preserve"> </v>
      </c>
      <c r="R28" s="422"/>
      <c r="S28" s="422"/>
      <c r="T28" s="422"/>
      <c r="U28" s="422"/>
      <c r="V28" s="422"/>
      <c r="X28" s="241">
        <f t="shared" si="28"/>
        <v>1000</v>
      </c>
      <c r="Y28" s="142">
        <v>1000</v>
      </c>
      <c r="Z28" s="142"/>
      <c r="AA28" s="141">
        <f t="shared" si="29"/>
        <v>0</v>
      </c>
      <c r="AB28" s="142">
        <f t="shared" si="33"/>
        <v>0</v>
      </c>
      <c r="AC28" s="211"/>
      <c r="AD28" s="141">
        <f t="shared" si="30"/>
        <v>-1000</v>
      </c>
      <c r="AE28" s="142">
        <f t="shared" si="34"/>
        <v>-1000</v>
      </c>
      <c r="AF28" s="211"/>
      <c r="AG28" s="241">
        <f t="shared" si="31"/>
        <v>0</v>
      </c>
      <c r="AH28" s="317">
        <v>0</v>
      </c>
      <c r="AI28" s="322"/>
    </row>
    <row r="29" spans="1:35" ht="15.95" customHeight="1" x14ac:dyDescent="0.2">
      <c r="A29" s="206"/>
      <c r="B29" s="144" t="s">
        <v>172</v>
      </c>
      <c r="C29" s="141">
        <f t="shared" si="24"/>
        <v>0</v>
      </c>
      <c r="D29" s="142">
        <f>'Celkem ORJ 13'!D17</f>
        <v>0</v>
      </c>
      <c r="E29" s="142"/>
      <c r="F29" s="141">
        <f t="shared" si="25"/>
        <v>171</v>
      </c>
      <c r="G29" s="142">
        <f>'Celkem ORJ 13'!G17</f>
        <v>171</v>
      </c>
      <c r="H29" s="142"/>
      <c r="I29" s="141">
        <f t="shared" si="26"/>
        <v>0</v>
      </c>
      <c r="J29" s="142">
        <f>'Celkem ORJ 13'!J17</f>
        <v>0</v>
      </c>
      <c r="K29" s="142"/>
      <c r="L29" s="141">
        <f t="shared" si="27"/>
        <v>0</v>
      </c>
      <c r="M29" s="142">
        <f t="shared" si="32"/>
        <v>0</v>
      </c>
      <c r="N29" s="211">
        <f t="shared" si="32"/>
        <v>0</v>
      </c>
      <c r="O29" s="574" t="str">
        <f t="shared" si="8"/>
        <v xml:space="preserve"> </v>
      </c>
      <c r="P29" s="542" t="str">
        <f t="shared" si="9"/>
        <v xml:space="preserve"> </v>
      </c>
      <c r="Q29" s="557" t="str">
        <f t="shared" si="10"/>
        <v xml:space="preserve"> </v>
      </c>
      <c r="R29" s="422"/>
      <c r="S29" s="422"/>
      <c r="T29" s="422"/>
      <c r="U29" s="422"/>
      <c r="V29" s="422"/>
      <c r="X29" s="241" t="e">
        <f t="shared" si="28"/>
        <v>#VALUE!</v>
      </c>
      <c r="Y29" s="142" t="str">
        <f>'Celkem ORJ 13'!Q17</f>
        <v xml:space="preserve"> </v>
      </c>
      <c r="Z29" s="142"/>
      <c r="AA29" s="141">
        <f t="shared" si="29"/>
        <v>0</v>
      </c>
      <c r="AB29" s="142">
        <f t="shared" si="33"/>
        <v>0</v>
      </c>
      <c r="AC29" s="211"/>
      <c r="AD29" s="141" t="e">
        <f t="shared" si="30"/>
        <v>#VALUE!</v>
      </c>
      <c r="AE29" s="142" t="e">
        <f t="shared" si="34"/>
        <v>#VALUE!</v>
      </c>
      <c r="AF29" s="211"/>
      <c r="AG29" s="241">
        <f t="shared" si="31"/>
        <v>0</v>
      </c>
      <c r="AH29" s="317">
        <v>0</v>
      </c>
      <c r="AI29" s="322"/>
    </row>
    <row r="30" spans="1:35" ht="15.95" customHeight="1" x14ac:dyDescent="0.2">
      <c r="A30" s="206"/>
      <c r="B30" s="56" t="s">
        <v>167</v>
      </c>
      <c r="C30" s="141">
        <f t="shared" si="24"/>
        <v>300</v>
      </c>
      <c r="D30" s="142">
        <f>'Celkem ORJ 13'!D18</f>
        <v>300</v>
      </c>
      <c r="E30" s="142"/>
      <c r="F30" s="141">
        <f t="shared" si="25"/>
        <v>0</v>
      </c>
      <c r="G30" s="142">
        <f>'Celkem ORJ 13'!G18</f>
        <v>0</v>
      </c>
      <c r="H30" s="142"/>
      <c r="I30" s="141">
        <f t="shared" si="26"/>
        <v>0</v>
      </c>
      <c r="J30" s="142">
        <f>'Celkem ORJ 13'!J18</f>
        <v>0</v>
      </c>
      <c r="K30" s="142"/>
      <c r="L30" s="141">
        <f t="shared" si="27"/>
        <v>-300</v>
      </c>
      <c r="M30" s="142">
        <f t="shared" si="32"/>
        <v>-300</v>
      </c>
      <c r="N30" s="211">
        <f t="shared" si="32"/>
        <v>0</v>
      </c>
      <c r="O30" s="574" t="str">
        <f t="shared" si="8"/>
        <v xml:space="preserve"> </v>
      </c>
      <c r="P30" s="542" t="str">
        <f t="shared" si="9"/>
        <v xml:space="preserve"> </v>
      </c>
      <c r="Q30" s="557" t="str">
        <f t="shared" si="10"/>
        <v xml:space="preserve"> </v>
      </c>
      <c r="R30" s="422"/>
      <c r="S30" s="422"/>
      <c r="T30" s="422"/>
      <c r="U30" s="422"/>
      <c r="V30" s="422"/>
      <c r="X30" s="241">
        <f t="shared" si="28"/>
        <v>500</v>
      </c>
      <c r="Y30" s="142">
        <v>500</v>
      </c>
      <c r="Z30" s="142"/>
      <c r="AA30" s="141">
        <f t="shared" si="29"/>
        <v>0</v>
      </c>
      <c r="AB30" s="142">
        <f t="shared" si="33"/>
        <v>0</v>
      </c>
      <c r="AC30" s="211"/>
      <c r="AD30" s="141">
        <f t="shared" si="30"/>
        <v>-500</v>
      </c>
      <c r="AE30" s="142">
        <f t="shared" si="34"/>
        <v>-500</v>
      </c>
      <c r="AF30" s="211"/>
      <c r="AG30" s="241">
        <f t="shared" si="31"/>
        <v>0</v>
      </c>
      <c r="AH30" s="317">
        <v>0</v>
      </c>
      <c r="AI30" s="322"/>
    </row>
    <row r="31" spans="1:35" ht="15.95" customHeight="1" x14ac:dyDescent="0.2">
      <c r="A31" s="206"/>
      <c r="B31" s="56" t="s">
        <v>171</v>
      </c>
      <c r="C31" s="141">
        <f t="shared" si="24"/>
        <v>300</v>
      </c>
      <c r="D31" s="142">
        <f>'Celkem ORJ 13'!D19</f>
        <v>300</v>
      </c>
      <c r="E31" s="142"/>
      <c r="F31" s="141">
        <f t="shared" si="25"/>
        <v>0</v>
      </c>
      <c r="G31" s="142">
        <f>'Celkem ORJ 13'!G19</f>
        <v>0</v>
      </c>
      <c r="H31" s="142"/>
      <c r="I31" s="141">
        <f t="shared" si="26"/>
        <v>285</v>
      </c>
      <c r="J31" s="142">
        <f>'Celkem ORJ 13'!J19</f>
        <v>285</v>
      </c>
      <c r="K31" s="142"/>
      <c r="L31" s="141">
        <f t="shared" si="27"/>
        <v>-15</v>
      </c>
      <c r="M31" s="142">
        <f t="shared" si="32"/>
        <v>-15</v>
      </c>
      <c r="N31" s="211">
        <f t="shared" si="32"/>
        <v>0</v>
      </c>
      <c r="O31" s="574">
        <f t="shared" si="8"/>
        <v>95</v>
      </c>
      <c r="P31" s="542">
        <f t="shared" si="9"/>
        <v>95</v>
      </c>
      <c r="Q31" s="557" t="str">
        <f t="shared" si="10"/>
        <v xml:space="preserve"> </v>
      </c>
      <c r="R31" s="422"/>
      <c r="S31" s="422"/>
      <c r="T31" s="422"/>
      <c r="U31" s="422"/>
      <c r="V31" s="422"/>
      <c r="X31" s="241">
        <f t="shared" si="28"/>
        <v>300</v>
      </c>
      <c r="Y31" s="142">
        <v>300</v>
      </c>
      <c r="Z31" s="142"/>
      <c r="AA31" s="141">
        <f t="shared" si="29"/>
        <v>285</v>
      </c>
      <c r="AB31" s="142">
        <f t="shared" si="33"/>
        <v>285</v>
      </c>
      <c r="AC31" s="211"/>
      <c r="AD31" s="141">
        <f t="shared" si="30"/>
        <v>-15</v>
      </c>
      <c r="AE31" s="142">
        <f t="shared" si="34"/>
        <v>-15</v>
      </c>
      <c r="AF31" s="211"/>
      <c r="AG31" s="241">
        <f t="shared" si="31"/>
        <v>285</v>
      </c>
      <c r="AH31" s="317">
        <v>285</v>
      </c>
      <c r="AI31" s="322"/>
    </row>
    <row r="32" spans="1:35" ht="15.95" customHeight="1" thickBot="1" x14ac:dyDescent="0.3">
      <c r="A32" s="206"/>
      <c r="B32" s="51" t="s">
        <v>166</v>
      </c>
      <c r="C32" s="49">
        <f t="shared" si="24"/>
        <v>1602</v>
      </c>
      <c r="D32" s="50">
        <f>'Celkem ORJ 13'!D22</f>
        <v>1602</v>
      </c>
      <c r="E32" s="50"/>
      <c r="F32" s="49">
        <f t="shared" si="25"/>
        <v>1602</v>
      </c>
      <c r="G32" s="50">
        <f>'Celkem ORJ 13'!G22</f>
        <v>1602</v>
      </c>
      <c r="H32" s="50"/>
      <c r="I32" s="49">
        <f t="shared" si="26"/>
        <v>1596</v>
      </c>
      <c r="J32" s="50">
        <f>'Celkem ORJ 13'!J22</f>
        <v>1596</v>
      </c>
      <c r="K32" s="50"/>
      <c r="L32" s="49">
        <f t="shared" si="27"/>
        <v>-6</v>
      </c>
      <c r="M32" s="142">
        <f t="shared" si="32"/>
        <v>-6</v>
      </c>
      <c r="N32" s="212">
        <f t="shared" si="32"/>
        <v>0</v>
      </c>
      <c r="O32" s="572">
        <f t="shared" si="8"/>
        <v>99.625468164794</v>
      </c>
      <c r="P32" s="570">
        <f t="shared" si="9"/>
        <v>99.625468164794</v>
      </c>
      <c r="Q32" s="573" t="str">
        <f t="shared" si="10"/>
        <v xml:space="preserve"> </v>
      </c>
      <c r="R32" s="422"/>
      <c r="S32" s="422"/>
      <c r="T32" s="422"/>
      <c r="U32" s="422"/>
      <c r="V32" s="422"/>
      <c r="X32" s="240">
        <f t="shared" si="28"/>
        <v>1596</v>
      </c>
      <c r="Y32" s="50">
        <v>1596</v>
      </c>
      <c r="Z32" s="50"/>
      <c r="AA32" s="49">
        <f t="shared" si="29"/>
        <v>1596</v>
      </c>
      <c r="AB32" s="50">
        <f>J32</f>
        <v>1596</v>
      </c>
      <c r="AC32" s="210"/>
      <c r="AD32" s="49">
        <f t="shared" si="30"/>
        <v>0</v>
      </c>
      <c r="AE32" s="50">
        <f>AB32-Y32</f>
        <v>0</v>
      </c>
      <c r="AF32" s="210"/>
      <c r="AG32" s="240">
        <f t="shared" si="31"/>
        <v>1602</v>
      </c>
      <c r="AH32" s="316">
        <v>1602</v>
      </c>
      <c r="AI32" s="321"/>
    </row>
    <row r="33" spans="1:39" ht="15.95" customHeight="1" x14ac:dyDescent="0.25">
      <c r="A33" s="206"/>
      <c r="B33" s="80" t="s">
        <v>150</v>
      </c>
      <c r="C33" s="81">
        <f t="shared" si="24"/>
        <v>234913</v>
      </c>
      <c r="D33" s="143">
        <f>D34+D38</f>
        <v>209898</v>
      </c>
      <c r="E33" s="143">
        <f>E34+E38</f>
        <v>25015</v>
      </c>
      <c r="F33" s="81">
        <f t="shared" si="25"/>
        <v>257429</v>
      </c>
      <c r="G33" s="143">
        <f>G34+G38</f>
        <v>232414</v>
      </c>
      <c r="H33" s="143">
        <f>H34+H38</f>
        <v>25015</v>
      </c>
      <c r="I33" s="81">
        <f t="shared" si="26"/>
        <v>225662</v>
      </c>
      <c r="J33" s="143">
        <f>J34+J38</f>
        <v>201338</v>
      </c>
      <c r="K33" s="143">
        <f>K34+K38</f>
        <v>24324</v>
      </c>
      <c r="L33" s="81">
        <f t="shared" si="27"/>
        <v>-9251</v>
      </c>
      <c r="M33" s="143">
        <f>M34+M38</f>
        <v>-8560</v>
      </c>
      <c r="N33" s="209">
        <f>N34+N38</f>
        <v>-691</v>
      </c>
      <c r="O33" s="555">
        <f t="shared" si="8"/>
        <v>96.061946337580295</v>
      </c>
      <c r="P33" s="541">
        <f t="shared" si="9"/>
        <v>95.921828697748438</v>
      </c>
      <c r="Q33" s="556">
        <f t="shared" si="10"/>
        <v>97.237657405556661</v>
      </c>
      <c r="R33" s="422"/>
      <c r="S33" s="422"/>
      <c r="T33" s="422"/>
      <c r="U33" s="422"/>
      <c r="V33" s="422"/>
      <c r="X33" s="239">
        <f t="shared" si="28"/>
        <v>245948</v>
      </c>
      <c r="Y33" s="143">
        <f>Y34+Y38</f>
        <v>219998</v>
      </c>
      <c r="Z33" s="143">
        <f>Z34+Z38</f>
        <v>25950</v>
      </c>
      <c r="AA33" s="81">
        <f t="shared" si="29"/>
        <v>225662</v>
      </c>
      <c r="AB33" s="143">
        <f>AB34+AB38</f>
        <v>201338</v>
      </c>
      <c r="AC33" s="209">
        <f>AC34+AC38</f>
        <v>24324</v>
      </c>
      <c r="AD33" s="81">
        <f t="shared" si="30"/>
        <v>-20322</v>
      </c>
      <c r="AE33" s="143">
        <f>AE34+AE38</f>
        <v>-18660</v>
      </c>
      <c r="AF33" s="209">
        <f>AF34+AF38</f>
        <v>-1662</v>
      </c>
      <c r="AG33" s="239">
        <f t="shared" si="31"/>
        <v>226263</v>
      </c>
      <c r="AH33" s="143">
        <f>AH34+AH38</f>
        <v>201248</v>
      </c>
      <c r="AI33" s="209">
        <f>AI34+AI38</f>
        <v>25015</v>
      </c>
    </row>
    <row r="34" spans="1:39" ht="15.95" customHeight="1" x14ac:dyDescent="0.25">
      <c r="A34" s="206"/>
      <c r="B34" s="51" t="s">
        <v>170</v>
      </c>
      <c r="C34" s="49">
        <f t="shared" si="24"/>
        <v>226859</v>
      </c>
      <c r="D34" s="50">
        <f>SUM(D35:D37)</f>
        <v>207200</v>
      </c>
      <c r="E34" s="50">
        <f>SUM(E35:E37)</f>
        <v>19659</v>
      </c>
      <c r="F34" s="49">
        <f t="shared" si="25"/>
        <v>249375</v>
      </c>
      <c r="G34" s="50">
        <f>SUM(G35:G37)</f>
        <v>229716</v>
      </c>
      <c r="H34" s="50">
        <f>SUM(H35:H37)</f>
        <v>19659</v>
      </c>
      <c r="I34" s="49">
        <f t="shared" si="26"/>
        <v>217518</v>
      </c>
      <c r="J34" s="50">
        <f>SUM(J35:J37)</f>
        <v>198550</v>
      </c>
      <c r="K34" s="50">
        <f>SUM(K35:K37)</f>
        <v>18968</v>
      </c>
      <c r="L34" s="49">
        <f t="shared" si="27"/>
        <v>-9341</v>
      </c>
      <c r="M34" s="50">
        <f>SUM(M35:M37)</f>
        <v>-8650</v>
      </c>
      <c r="N34" s="210">
        <f>SUM(N35:N37)</f>
        <v>-691</v>
      </c>
      <c r="O34" s="572">
        <f t="shared" si="8"/>
        <v>95.882464438263412</v>
      </c>
      <c r="P34" s="570">
        <f t="shared" si="9"/>
        <v>95.825289575289574</v>
      </c>
      <c r="Q34" s="573">
        <f t="shared" si="10"/>
        <v>96.48507045119284</v>
      </c>
      <c r="R34" s="550"/>
      <c r="S34" s="550"/>
      <c r="T34" s="550"/>
      <c r="U34" s="550"/>
      <c r="V34" s="550"/>
      <c r="X34" s="240">
        <f t="shared" si="28"/>
        <v>237930</v>
      </c>
      <c r="Y34" s="50">
        <f>SUM(Y35:Y37)</f>
        <v>217300</v>
      </c>
      <c r="Z34" s="50">
        <f>SUM(Z35:Z37)</f>
        <v>20630</v>
      </c>
      <c r="AA34" s="49">
        <f t="shared" si="29"/>
        <v>217518</v>
      </c>
      <c r="AB34" s="50">
        <f>SUM(AB35:AB37)</f>
        <v>198550</v>
      </c>
      <c r="AC34" s="210">
        <f>SUM(AC35:AC37)</f>
        <v>18968</v>
      </c>
      <c r="AD34" s="49">
        <f t="shared" si="30"/>
        <v>-20412</v>
      </c>
      <c r="AE34" s="50">
        <f>SUM(AE35:AE37)</f>
        <v>-18750</v>
      </c>
      <c r="AF34" s="210">
        <f>SUM(AF35:AF37)</f>
        <v>-1662</v>
      </c>
      <c r="AG34" s="240">
        <f t="shared" si="31"/>
        <v>218209</v>
      </c>
      <c r="AH34" s="50">
        <f>SUM(AH35:AH37)</f>
        <v>198550</v>
      </c>
      <c r="AI34" s="210">
        <f>SUM(AI35:AI37)</f>
        <v>19659</v>
      </c>
    </row>
    <row r="35" spans="1:39" ht="15.95" customHeight="1" x14ac:dyDescent="0.2">
      <c r="A35" s="206"/>
      <c r="B35" s="56" t="s">
        <v>591</v>
      </c>
      <c r="C35" s="141">
        <f t="shared" si="24"/>
        <v>191659</v>
      </c>
      <c r="D35" s="142">
        <f>'Celkem ORJ - 14'!D12</f>
        <v>172000</v>
      </c>
      <c r="E35" s="142">
        <f>'Celkem ORJ - 14'!D14</f>
        <v>19659</v>
      </c>
      <c r="F35" s="141">
        <f t="shared" si="25"/>
        <v>214359</v>
      </c>
      <c r="G35" s="142">
        <f>'Celkem ORJ - 14'!G12</f>
        <v>194700</v>
      </c>
      <c r="H35" s="142">
        <f>'Celkem ORJ - 14'!G14</f>
        <v>19659</v>
      </c>
      <c r="I35" s="141">
        <f t="shared" si="26"/>
        <v>182378</v>
      </c>
      <c r="J35" s="142">
        <f>'Celkem ORJ - 14'!J12</f>
        <v>163410</v>
      </c>
      <c r="K35" s="142">
        <f>'Celkem ORJ - 14'!J14</f>
        <v>18968</v>
      </c>
      <c r="L35" s="141">
        <f t="shared" si="27"/>
        <v>-9281</v>
      </c>
      <c r="M35" s="142">
        <f t="shared" ref="M35:N38" si="35">J35-D35</f>
        <v>-8590</v>
      </c>
      <c r="N35" s="211">
        <f t="shared" si="35"/>
        <v>-691</v>
      </c>
      <c r="O35" s="574">
        <f t="shared" si="8"/>
        <v>95.157545432252078</v>
      </c>
      <c r="P35" s="542">
        <f t="shared" si="9"/>
        <v>95.005813953488371</v>
      </c>
      <c r="Q35" s="557">
        <f t="shared" si="10"/>
        <v>96.48507045119284</v>
      </c>
      <c r="R35" s="422"/>
      <c r="S35" s="422"/>
      <c r="T35" s="422"/>
      <c r="U35" s="422"/>
      <c r="V35" s="422"/>
      <c r="X35" s="241">
        <f t="shared" si="28"/>
        <v>201730</v>
      </c>
      <c r="Y35" s="142">
        <v>181100</v>
      </c>
      <c r="Z35" s="142">
        <v>20630</v>
      </c>
      <c r="AA35" s="141">
        <f t="shared" si="29"/>
        <v>182378</v>
      </c>
      <c r="AB35" s="142">
        <f>J35</f>
        <v>163410</v>
      </c>
      <c r="AC35" s="211">
        <f>K35</f>
        <v>18968</v>
      </c>
      <c r="AD35" s="141">
        <f t="shared" si="30"/>
        <v>-19352</v>
      </c>
      <c r="AE35" s="142">
        <f>AB35-Y35</f>
        <v>-17690</v>
      </c>
      <c r="AF35" s="211">
        <f>AC35-Z35</f>
        <v>-1662</v>
      </c>
      <c r="AG35" s="241">
        <f t="shared" si="31"/>
        <v>184009</v>
      </c>
      <c r="AH35" s="317">
        <v>164350</v>
      </c>
      <c r="AI35" s="322">
        <v>19659</v>
      </c>
    </row>
    <row r="36" spans="1:39" ht="15.95" customHeight="1" x14ac:dyDescent="0.2">
      <c r="A36" s="206"/>
      <c r="B36" s="56" t="s">
        <v>168</v>
      </c>
      <c r="C36" s="141">
        <f t="shared" si="24"/>
        <v>34200</v>
      </c>
      <c r="D36" s="142">
        <f>'Celkem ORJ - 14'!D13</f>
        <v>34200</v>
      </c>
      <c r="E36" s="142"/>
      <c r="F36" s="141">
        <f t="shared" si="25"/>
        <v>34200</v>
      </c>
      <c r="G36" s="142">
        <f>'Celkem ORJ - 14'!G13</f>
        <v>34200</v>
      </c>
      <c r="H36" s="142"/>
      <c r="I36" s="141">
        <f t="shared" si="26"/>
        <v>34200</v>
      </c>
      <c r="J36" s="142">
        <f>'Celkem ORJ - 14'!J13</f>
        <v>34200</v>
      </c>
      <c r="K36" s="142"/>
      <c r="L36" s="141">
        <f t="shared" si="27"/>
        <v>0</v>
      </c>
      <c r="M36" s="142">
        <f t="shared" si="35"/>
        <v>0</v>
      </c>
      <c r="N36" s="211">
        <f t="shared" si="35"/>
        <v>0</v>
      </c>
      <c r="O36" s="574">
        <f t="shared" si="8"/>
        <v>100</v>
      </c>
      <c r="P36" s="542">
        <f t="shared" si="9"/>
        <v>100</v>
      </c>
      <c r="Q36" s="557" t="str">
        <f t="shared" si="10"/>
        <v xml:space="preserve"> </v>
      </c>
      <c r="R36" s="422"/>
      <c r="S36" s="422"/>
      <c r="T36" s="422"/>
      <c r="U36" s="422"/>
      <c r="V36" s="422"/>
      <c r="X36" s="241">
        <f t="shared" si="28"/>
        <v>35200</v>
      </c>
      <c r="Y36" s="142">
        <v>35200</v>
      </c>
      <c r="Z36" s="142"/>
      <c r="AA36" s="141">
        <f t="shared" si="29"/>
        <v>34200</v>
      </c>
      <c r="AB36" s="142">
        <f t="shared" ref="AB36:AB37" si="36">J36</f>
        <v>34200</v>
      </c>
      <c r="AC36" s="211"/>
      <c r="AD36" s="141">
        <f t="shared" si="30"/>
        <v>-1000</v>
      </c>
      <c r="AE36" s="142">
        <f t="shared" ref="AE36:AE37" si="37">AB36-Y36</f>
        <v>-1000</v>
      </c>
      <c r="AF36" s="211"/>
      <c r="AG36" s="241">
        <f t="shared" si="31"/>
        <v>34200</v>
      </c>
      <c r="AH36" s="317">
        <v>34200</v>
      </c>
      <c r="AI36" s="322"/>
    </row>
    <row r="37" spans="1:39" ht="15.95" customHeight="1" x14ac:dyDescent="0.2">
      <c r="A37" s="206"/>
      <c r="B37" s="56" t="s">
        <v>167</v>
      </c>
      <c r="C37" s="141">
        <f t="shared" si="24"/>
        <v>1000</v>
      </c>
      <c r="D37" s="142">
        <f>'Celkem ORJ - 14'!D15</f>
        <v>1000</v>
      </c>
      <c r="E37" s="142"/>
      <c r="F37" s="141">
        <f t="shared" si="25"/>
        <v>816</v>
      </c>
      <c r="G37" s="142">
        <f>'Celkem ORJ - 14'!G15</f>
        <v>816</v>
      </c>
      <c r="H37" s="142"/>
      <c r="I37" s="141">
        <f t="shared" si="26"/>
        <v>940</v>
      </c>
      <c r="J37" s="142">
        <f>'Celkem ORJ - 14'!J15</f>
        <v>940</v>
      </c>
      <c r="K37" s="142"/>
      <c r="L37" s="141">
        <f t="shared" si="27"/>
        <v>-60</v>
      </c>
      <c r="M37" s="142">
        <f t="shared" si="35"/>
        <v>-60</v>
      </c>
      <c r="N37" s="211">
        <f t="shared" si="35"/>
        <v>0</v>
      </c>
      <c r="O37" s="574">
        <f t="shared" si="8"/>
        <v>94</v>
      </c>
      <c r="P37" s="542">
        <f t="shared" si="9"/>
        <v>94</v>
      </c>
      <c r="Q37" s="557" t="str">
        <f t="shared" si="10"/>
        <v xml:space="preserve"> </v>
      </c>
      <c r="R37" s="422"/>
      <c r="S37" s="422"/>
      <c r="T37" s="422"/>
      <c r="U37" s="422"/>
      <c r="V37" s="422"/>
      <c r="X37" s="241">
        <f t="shared" si="28"/>
        <v>1000</v>
      </c>
      <c r="Y37" s="142">
        <v>1000</v>
      </c>
      <c r="Z37" s="142"/>
      <c r="AA37" s="141">
        <f t="shared" si="29"/>
        <v>940</v>
      </c>
      <c r="AB37" s="142">
        <f t="shared" si="36"/>
        <v>940</v>
      </c>
      <c r="AC37" s="211"/>
      <c r="AD37" s="141">
        <f t="shared" si="30"/>
        <v>-60</v>
      </c>
      <c r="AE37" s="142">
        <f t="shared" si="37"/>
        <v>-60</v>
      </c>
      <c r="AF37" s="211"/>
      <c r="AG37" s="241">
        <f t="shared" si="31"/>
        <v>0</v>
      </c>
      <c r="AH37" s="317">
        <v>0</v>
      </c>
      <c r="AI37" s="322"/>
    </row>
    <row r="38" spans="1:39" ht="15.95" customHeight="1" thickBot="1" x14ac:dyDescent="0.3">
      <c r="A38" s="206"/>
      <c r="B38" s="51" t="s">
        <v>166</v>
      </c>
      <c r="C38" s="49">
        <f t="shared" si="24"/>
        <v>8054</v>
      </c>
      <c r="D38" s="50">
        <f>'Celkem ORJ - 14'!D18</f>
        <v>2698</v>
      </c>
      <c r="E38" s="50">
        <f>'Celkem ORJ - 14'!E18</f>
        <v>5356</v>
      </c>
      <c r="F38" s="49">
        <f t="shared" si="25"/>
        <v>8054</v>
      </c>
      <c r="G38" s="50">
        <f>'Celkem ORJ - 14'!G18</f>
        <v>2698</v>
      </c>
      <c r="H38" s="50">
        <f>'Celkem ORJ - 14'!H18</f>
        <v>5356</v>
      </c>
      <c r="I38" s="49">
        <f t="shared" si="26"/>
        <v>8144</v>
      </c>
      <c r="J38" s="50">
        <f>'Celkem ORJ - 14'!J18</f>
        <v>2788</v>
      </c>
      <c r="K38" s="50">
        <f>'Celkem ORJ - 14'!K18</f>
        <v>5356</v>
      </c>
      <c r="L38" s="49">
        <f t="shared" si="27"/>
        <v>90</v>
      </c>
      <c r="M38" s="142">
        <f t="shared" si="35"/>
        <v>90</v>
      </c>
      <c r="N38" s="211">
        <f t="shared" si="35"/>
        <v>0</v>
      </c>
      <c r="O38" s="572">
        <f t="shared" si="8"/>
        <v>101.11745716414204</v>
      </c>
      <c r="P38" s="570">
        <f t="shared" si="9"/>
        <v>103.33580429948111</v>
      </c>
      <c r="Q38" s="573">
        <f t="shared" si="10"/>
        <v>100</v>
      </c>
      <c r="R38" s="422"/>
      <c r="S38" s="422"/>
      <c r="T38" s="422"/>
      <c r="U38" s="422"/>
      <c r="V38" s="422"/>
      <c r="X38" s="240">
        <f t="shared" si="28"/>
        <v>8018</v>
      </c>
      <c r="Y38" s="50">
        <v>2698</v>
      </c>
      <c r="Z38" s="50">
        <v>5320</v>
      </c>
      <c r="AA38" s="49">
        <f t="shared" si="29"/>
        <v>8144</v>
      </c>
      <c r="AB38" s="50">
        <f>J38</f>
        <v>2788</v>
      </c>
      <c r="AC38" s="210">
        <f>K38</f>
        <v>5356</v>
      </c>
      <c r="AD38" s="49">
        <f t="shared" si="30"/>
        <v>90</v>
      </c>
      <c r="AE38" s="50">
        <f>AB38-Y38</f>
        <v>90</v>
      </c>
      <c r="AF38" s="210">
        <f>'Celkem ORJ - 14'!X18</f>
        <v>0</v>
      </c>
      <c r="AG38" s="240">
        <f t="shared" si="31"/>
        <v>8054</v>
      </c>
      <c r="AH38" s="316">
        <f>D38</f>
        <v>2698</v>
      </c>
      <c r="AI38" s="321">
        <f>E38</f>
        <v>5356</v>
      </c>
      <c r="AK38" s="39" t="s">
        <v>576</v>
      </c>
      <c r="AM38" s="39">
        <v>100</v>
      </c>
    </row>
    <row r="39" spans="1:39" ht="15.95" customHeight="1" thickBot="1" x14ac:dyDescent="0.3">
      <c r="A39" s="213"/>
      <c r="B39" s="214" t="s">
        <v>165</v>
      </c>
      <c r="C39" s="215">
        <f>C33+C24+C21+C18+C11</f>
        <v>1539290</v>
      </c>
      <c r="D39" s="216">
        <f t="shared" ref="D39:N39" si="38">D33+D24+D21+D18+D11</f>
        <v>1254873</v>
      </c>
      <c r="E39" s="217">
        <f t="shared" si="38"/>
        <v>284417</v>
      </c>
      <c r="F39" s="215">
        <f>F33+F24+F21+F18+F11</f>
        <v>1592663.91</v>
      </c>
      <c r="G39" s="216">
        <f t="shared" si="38"/>
        <v>1307604.9099999999</v>
      </c>
      <c r="H39" s="217">
        <f t="shared" si="38"/>
        <v>285059</v>
      </c>
      <c r="I39" s="215">
        <f t="shared" si="38"/>
        <v>1465709</v>
      </c>
      <c r="J39" s="216">
        <f t="shared" si="38"/>
        <v>1185414</v>
      </c>
      <c r="K39" s="217">
        <f t="shared" si="38"/>
        <v>280295</v>
      </c>
      <c r="L39" s="215">
        <f t="shared" si="38"/>
        <v>-73581</v>
      </c>
      <c r="M39" s="216">
        <f t="shared" si="38"/>
        <v>-69459</v>
      </c>
      <c r="N39" s="218">
        <f t="shared" si="38"/>
        <v>-4122</v>
      </c>
      <c r="O39" s="558">
        <f t="shared" si="8"/>
        <v>95.21980913278199</v>
      </c>
      <c r="P39" s="571">
        <f t="shared" si="9"/>
        <v>94.464858196805565</v>
      </c>
      <c r="Q39" s="575">
        <f t="shared" si="10"/>
        <v>98.550719542080827</v>
      </c>
      <c r="R39" s="421"/>
      <c r="S39" s="421"/>
      <c r="T39" s="421"/>
      <c r="U39" s="421"/>
      <c r="V39" s="421"/>
      <c r="X39" s="242">
        <f t="shared" ref="X39:Z39" si="39">X33+X24+X21+X18+X11</f>
        <v>1529318</v>
      </c>
      <c r="Y39" s="216">
        <f t="shared" si="39"/>
        <v>1255912</v>
      </c>
      <c r="Z39" s="217">
        <f t="shared" si="39"/>
        <v>273406</v>
      </c>
      <c r="AA39" s="215">
        <f t="shared" ref="AA39:AC39" si="40">AA33+AA24+AA21+AA18+AA11</f>
        <v>1465709</v>
      </c>
      <c r="AB39" s="216">
        <f t="shared" si="40"/>
        <v>1185414</v>
      </c>
      <c r="AC39" s="243">
        <f t="shared" si="40"/>
        <v>280295</v>
      </c>
      <c r="AD39" s="215" t="e">
        <f t="shared" ref="AD39:AF39" si="41">AD33+AD24+AD21+AD18+AD11</f>
        <v>#VALUE!</v>
      </c>
      <c r="AE39" s="216" t="e">
        <f t="shared" si="41"/>
        <v>#VALUE!</v>
      </c>
      <c r="AF39" s="243">
        <f t="shared" si="41"/>
        <v>6853</v>
      </c>
      <c r="AG39" s="242">
        <f>AG33+AG24+AG21+AG18+AG11</f>
        <v>1481610</v>
      </c>
      <c r="AH39" s="216">
        <f>AH33+AH24+AH21+AH18+AH11</f>
        <v>1197193</v>
      </c>
      <c r="AI39" s="243">
        <f>AI33+AI24+AI21+AI18+AI11</f>
        <v>284417</v>
      </c>
      <c r="AK39" s="39" t="s">
        <v>575</v>
      </c>
      <c r="AM39" s="410">
        <f>66546+110+26250+'PO - kultura'!AH21+'PO - sociálníci'!AG46+'PO - zdravotnictví'!AD19</f>
        <v>141723</v>
      </c>
    </row>
    <row r="40" spans="1:39" ht="15.95" hidden="1" customHeight="1" thickTop="1" x14ac:dyDescent="0.25">
      <c r="A40" s="323"/>
      <c r="B40" s="459"/>
      <c r="C40" s="460"/>
      <c r="D40" s="460"/>
      <c r="E40" s="464"/>
      <c r="F40" s="464"/>
      <c r="G40" s="464"/>
      <c r="H40" s="464"/>
      <c r="I40" s="464"/>
      <c r="J40" s="461"/>
      <c r="K40" s="461"/>
      <c r="L40" s="461"/>
      <c r="M40" s="461"/>
      <c r="N40" s="461"/>
      <c r="O40" s="461"/>
      <c r="P40" s="461"/>
      <c r="Q40" s="461"/>
      <c r="R40" s="421"/>
      <c r="S40" s="421"/>
      <c r="T40" s="421"/>
      <c r="U40" s="421"/>
      <c r="V40" s="421"/>
      <c r="X40" s="461"/>
      <c r="Y40" s="461"/>
      <c r="Z40" s="461"/>
      <c r="AA40" s="461"/>
      <c r="AB40" s="461"/>
      <c r="AC40" s="461"/>
      <c r="AD40" s="461"/>
      <c r="AE40" s="461"/>
      <c r="AF40" s="461"/>
      <c r="AG40" s="461"/>
      <c r="AH40" s="461"/>
      <c r="AI40" s="461"/>
      <c r="AM40" s="410"/>
    </row>
    <row r="41" spans="1:39" ht="15.75" hidden="1" thickTop="1" x14ac:dyDescent="0.25">
      <c r="C41" s="462"/>
      <c r="D41" s="463"/>
      <c r="E41" s="462" t="s">
        <v>603</v>
      </c>
      <c r="F41" s="462"/>
      <c r="G41" s="463"/>
      <c r="H41" s="463"/>
      <c r="I41" s="462">
        <f>'ORJ - 10'!I21+'Celkem ORJ - 11'!I17+'Celkem ORJ -12'!I15+'Celkem ORJ 13'!I25+'Celkem ORJ - 14'!I21</f>
        <v>1500900</v>
      </c>
      <c r="AM41" s="410">
        <f>SUM(AM38:AM39)</f>
        <v>141823</v>
      </c>
    </row>
    <row r="42" spans="1:39" ht="17.25" hidden="1" thickTop="1" thickBot="1" x14ac:dyDescent="0.3">
      <c r="C42" s="453"/>
      <c r="D42" s="454"/>
      <c r="E42" s="453"/>
      <c r="F42" s="453" t="s">
        <v>604</v>
      </c>
      <c r="G42" s="454"/>
      <c r="H42" s="454"/>
      <c r="I42" s="453">
        <f>-I41+I39</f>
        <v>-35191</v>
      </c>
      <c r="M42" s="325" t="s">
        <v>577</v>
      </c>
      <c r="N42" s="326"/>
      <c r="P42" s="325" t="s">
        <v>577</v>
      </c>
      <c r="Q42" s="326"/>
      <c r="R42" s="551"/>
      <c r="S42" s="551"/>
      <c r="T42" s="551"/>
      <c r="U42" s="551"/>
      <c r="V42" s="551"/>
      <c r="W42" s="326"/>
      <c r="X42" s="458"/>
      <c r="Y42" s="458"/>
      <c r="Z42" s="458"/>
      <c r="AA42" s="458"/>
      <c r="AB42" s="458"/>
      <c r="AC42" s="458"/>
      <c r="AD42" s="458"/>
      <c r="AE42" s="458"/>
      <c r="AF42" s="458"/>
      <c r="AG42" s="458"/>
      <c r="AH42" s="326"/>
      <c r="AI42" s="327">
        <f>I39-AG39</f>
        <v>-15901</v>
      </c>
      <c r="AJ42" s="423" t="s">
        <v>597</v>
      </c>
      <c r="AM42" s="410"/>
    </row>
    <row r="43" spans="1:39" ht="13.5" hidden="1" thickTop="1" x14ac:dyDescent="0.2">
      <c r="E43" s="127">
        <f>SUM(E38)</f>
        <v>5356</v>
      </c>
      <c r="K43" s="127">
        <f>SUM(K38)</f>
        <v>5356</v>
      </c>
      <c r="AM43" s="410"/>
    </row>
    <row r="44" spans="1:39" ht="13.5" hidden="1" thickTop="1" x14ac:dyDescent="0.2">
      <c r="E44" s="127">
        <f>E39-E43</f>
        <v>279061</v>
      </c>
      <c r="K44" s="127">
        <f>K39-K43</f>
        <v>274939</v>
      </c>
      <c r="AM44" s="410"/>
    </row>
    <row r="45" spans="1:39" ht="23.25" customHeight="1" thickTop="1" x14ac:dyDescent="0.25">
      <c r="W45" s="323"/>
      <c r="X45" s="323"/>
      <c r="Y45" s="323"/>
      <c r="Z45" s="323"/>
      <c r="AA45" s="323"/>
      <c r="AB45" s="323"/>
      <c r="AC45" s="323"/>
      <c r="AD45" s="323"/>
      <c r="AE45" s="323"/>
      <c r="AF45" s="323"/>
      <c r="AH45" s="324"/>
      <c r="AI45" s="324"/>
    </row>
    <row r="47" spans="1:39" x14ac:dyDescent="0.2">
      <c r="K47" s="127"/>
    </row>
    <row r="49" spans="6:8" x14ac:dyDescent="0.2">
      <c r="F49" s="127"/>
    </row>
    <row r="50" spans="6:8" x14ac:dyDescent="0.2">
      <c r="H50" s="127"/>
    </row>
  </sheetData>
  <sheetProtection selectLockedCells="1"/>
  <mergeCells count="34">
    <mergeCell ref="K1:K2"/>
    <mergeCell ref="L5:N5"/>
    <mergeCell ref="C7:E7"/>
    <mergeCell ref="F7:H7"/>
    <mergeCell ref="I7:K7"/>
    <mergeCell ref="L7:N7"/>
    <mergeCell ref="H1:H2"/>
    <mergeCell ref="I1:I2"/>
    <mergeCell ref="J1:J2"/>
    <mergeCell ref="AG7:AI7"/>
    <mergeCell ref="AG8:AG9"/>
    <mergeCell ref="AH8:AI8"/>
    <mergeCell ref="D8:E8"/>
    <mergeCell ref="G8:H8"/>
    <mergeCell ref="J8:K8"/>
    <mergeCell ref="M8:N8"/>
    <mergeCell ref="AD7:AF7"/>
    <mergeCell ref="AD8:AD9"/>
    <mergeCell ref="AE8:AF8"/>
    <mergeCell ref="X7:Z7"/>
    <mergeCell ref="X8:X9"/>
    <mergeCell ref="Y8:Z8"/>
    <mergeCell ref="AA7:AC7"/>
    <mergeCell ref="AA8:AA9"/>
    <mergeCell ref="AB8:AC8"/>
    <mergeCell ref="O5:Q5"/>
    <mergeCell ref="O7:Q7"/>
    <mergeCell ref="O8:O9"/>
    <mergeCell ref="P8:Q8"/>
    <mergeCell ref="B8:B9"/>
    <mergeCell ref="C8:C9"/>
    <mergeCell ref="F8:F9"/>
    <mergeCell ref="I8:I9"/>
    <mergeCell ref="L8:L9"/>
  </mergeCells>
  <conditionalFormatting sqref="C33">
    <cfRule type="cellIs" dxfId="37" priority="24" operator="notEqual">
      <formula>234913</formula>
    </cfRule>
  </conditionalFormatting>
  <conditionalFormatting sqref="C24">
    <cfRule type="cellIs" dxfId="36" priority="23" operator="notEqual">
      <formula>126079</formula>
    </cfRule>
  </conditionalFormatting>
  <conditionalFormatting sqref="C18">
    <cfRule type="cellIs" dxfId="35" priority="22" operator="notEqual">
      <formula>256246</formula>
    </cfRule>
  </conditionalFormatting>
  <conditionalFormatting sqref="C11">
    <cfRule type="cellIs" dxfId="34" priority="21" operator="notEqual">
      <formula>401999</formula>
    </cfRule>
  </conditionalFormatting>
  <conditionalFormatting sqref="C21">
    <cfRule type="cellIs" dxfId="33" priority="20" operator="notEqual">
      <formula>520053</formula>
    </cfRule>
  </conditionalFormatting>
  <conditionalFormatting sqref="I11">
    <cfRule type="cellIs" dxfId="32" priority="18" operator="notEqual">
      <formula>388373+21+1000</formula>
    </cfRule>
  </conditionalFormatting>
  <conditionalFormatting sqref="I18">
    <cfRule type="cellIs" dxfId="31" priority="17" operator="notEqual">
      <formula>235000</formula>
    </cfRule>
  </conditionalFormatting>
  <conditionalFormatting sqref="I21">
    <cfRule type="cellIs" dxfId="30" priority="16" operator="notEqual">
      <formula>501987-7000-300-3000</formula>
    </cfRule>
  </conditionalFormatting>
  <conditionalFormatting sqref="I24">
    <cfRule type="cellIs" dxfId="29" priority="15" operator="notEqual">
      <formula>123366+219+381</formula>
    </cfRule>
  </conditionalFormatting>
  <conditionalFormatting sqref="I33">
    <cfRule type="cellIs" dxfId="28" priority="14" operator="notEqual">
      <formula>225662</formula>
    </cfRule>
  </conditionalFormatting>
  <conditionalFormatting sqref="AG24">
    <cfRule type="cellIs" dxfId="27" priority="12" operator="notEqual">
      <formula>123366</formula>
    </cfRule>
  </conditionalFormatting>
  <conditionalFormatting sqref="AG11">
    <cfRule type="cellIs" dxfId="26" priority="11" operator="notEqual">
      <formula>386270</formula>
    </cfRule>
  </conditionalFormatting>
  <conditionalFormatting sqref="AG18">
    <cfRule type="cellIs" dxfId="25" priority="10" operator="notEqual">
      <formula>245016</formula>
    </cfRule>
  </conditionalFormatting>
  <conditionalFormatting sqref="AG21">
    <cfRule type="cellIs" dxfId="24" priority="9" operator="notEqual">
      <formula>500695</formula>
    </cfRule>
  </conditionalFormatting>
  <conditionalFormatting sqref="AG33">
    <cfRule type="cellIs" dxfId="23" priority="8" operator="notEqual">
      <formula>226263</formula>
    </cfRule>
  </conditionalFormatting>
  <conditionalFormatting sqref="I41">
    <cfRule type="cellIs" dxfId="22" priority="6" operator="notEqual">
      <formula>1500900</formula>
    </cfRule>
  </conditionalFormatting>
  <pageMargins left="0.70866141732283472" right="0.70866141732283472" top="0.78740157480314965" bottom="0.78740157480314965" header="0.31496062992125984" footer="0.31496062992125984"/>
  <pageSetup paperSize="9" scale="69" firstPageNumber="61" fitToHeight="9999" orientation="landscape" useFirstPageNumber="1"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Q33"/>
  <sheetViews>
    <sheetView showGridLines="0" workbookViewId="0">
      <selection activeCell="B23" sqref="B23:K23"/>
    </sheetView>
  </sheetViews>
  <sheetFormatPr defaultRowHeight="12.75" x14ac:dyDescent="0.2"/>
  <cols>
    <col min="1" max="1" width="0.140625" customWidth="1"/>
    <col min="2" max="2" width="42.42578125" customWidth="1"/>
    <col min="3" max="11" width="12.7109375" customWidth="1"/>
    <col min="12" max="14" width="12.7109375" hidden="1" customWidth="1"/>
    <col min="15" max="17" width="12.7109375" customWidth="1"/>
  </cols>
  <sheetData>
    <row r="2" spans="2:17" ht="20.25" x14ac:dyDescent="0.3">
      <c r="B2" s="361" t="s">
        <v>174</v>
      </c>
      <c r="C2" s="359"/>
      <c r="D2" s="359"/>
      <c r="E2" s="360"/>
      <c r="F2" s="359"/>
      <c r="G2" s="359"/>
      <c r="H2" s="359"/>
      <c r="I2" s="359"/>
      <c r="J2" s="359"/>
      <c r="K2" s="359"/>
      <c r="L2" s="359"/>
      <c r="M2" s="358"/>
      <c r="N2" s="357" t="s">
        <v>432</v>
      </c>
      <c r="O2" s="359"/>
      <c r="P2" s="358"/>
      <c r="Q2" s="357" t="s">
        <v>432</v>
      </c>
    </row>
    <row r="3" spans="2:17" x14ac:dyDescent="0.2">
      <c r="B3" s="356" t="s">
        <v>564</v>
      </c>
      <c r="L3" s="690"/>
      <c r="M3" s="690"/>
      <c r="N3" s="690"/>
      <c r="O3" s="690"/>
      <c r="P3" s="690"/>
      <c r="Q3" s="690"/>
    </row>
    <row r="4" spans="2:17" x14ac:dyDescent="0.2">
      <c r="B4" s="356" t="s">
        <v>67</v>
      </c>
      <c r="L4" s="690"/>
      <c r="M4" s="690"/>
      <c r="N4" s="690"/>
      <c r="O4" s="690"/>
      <c r="P4" s="690"/>
      <c r="Q4" s="690"/>
    </row>
    <row r="5" spans="2:17" ht="13.5" thickBot="1" x14ac:dyDescent="0.25">
      <c r="N5" s="355" t="s">
        <v>5</v>
      </c>
      <c r="Q5" s="467" t="s">
        <v>5</v>
      </c>
    </row>
    <row r="6" spans="2:17" ht="26.1" customHeight="1" x14ac:dyDescent="0.2">
      <c r="B6" s="477"/>
      <c r="C6" s="691" t="s">
        <v>548</v>
      </c>
      <c r="D6" s="692"/>
      <c r="E6" s="692"/>
      <c r="F6" s="691" t="s">
        <v>563</v>
      </c>
      <c r="G6" s="692"/>
      <c r="H6" s="692"/>
      <c r="I6" s="691" t="s">
        <v>558</v>
      </c>
      <c r="J6" s="692"/>
      <c r="K6" s="692"/>
      <c r="L6" s="691" t="s">
        <v>6</v>
      </c>
      <c r="M6" s="692"/>
      <c r="N6" s="693"/>
      <c r="O6" s="691" t="s">
        <v>633</v>
      </c>
      <c r="P6" s="692"/>
      <c r="Q6" s="693"/>
    </row>
    <row r="7" spans="2:17" x14ac:dyDescent="0.2">
      <c r="B7" s="682" t="s">
        <v>66</v>
      </c>
      <c r="C7" s="684" t="s">
        <v>65</v>
      </c>
      <c r="D7" s="676" t="s">
        <v>10</v>
      </c>
      <c r="E7" s="686"/>
      <c r="F7" s="684" t="s">
        <v>65</v>
      </c>
      <c r="G7" s="676" t="s">
        <v>10</v>
      </c>
      <c r="H7" s="686"/>
      <c r="I7" s="684" t="s">
        <v>65</v>
      </c>
      <c r="J7" s="676" t="s">
        <v>10</v>
      </c>
      <c r="K7" s="686"/>
      <c r="L7" s="748" t="s">
        <v>65</v>
      </c>
      <c r="M7" s="676" t="s">
        <v>10</v>
      </c>
      <c r="N7" s="677"/>
      <c r="O7" s="748" t="s">
        <v>65</v>
      </c>
      <c r="P7" s="676" t="s">
        <v>10</v>
      </c>
      <c r="Q7" s="677"/>
    </row>
    <row r="8" spans="2:17" ht="39" thickBot="1" x14ac:dyDescent="0.25">
      <c r="B8" s="683"/>
      <c r="C8" s="685"/>
      <c r="D8" s="478" t="s">
        <v>64</v>
      </c>
      <c r="E8" s="478" t="s">
        <v>63</v>
      </c>
      <c r="F8" s="685"/>
      <c r="G8" s="478" t="s">
        <v>64</v>
      </c>
      <c r="H8" s="478" t="s">
        <v>63</v>
      </c>
      <c r="I8" s="685"/>
      <c r="J8" s="478" t="s">
        <v>64</v>
      </c>
      <c r="K8" s="478" t="s">
        <v>63</v>
      </c>
      <c r="L8" s="749"/>
      <c r="M8" s="525" t="s">
        <v>64</v>
      </c>
      <c r="N8" s="526" t="s">
        <v>63</v>
      </c>
      <c r="O8" s="749"/>
      <c r="P8" s="525" t="s">
        <v>64</v>
      </c>
      <c r="Q8" s="526" t="s">
        <v>63</v>
      </c>
    </row>
    <row r="9" spans="2:17" ht="14.25" thickTop="1" thickBot="1" x14ac:dyDescent="0.25">
      <c r="B9" s="479"/>
      <c r="C9" s="480" t="s">
        <v>62</v>
      </c>
      <c r="D9" s="481" t="s">
        <v>61</v>
      </c>
      <c r="E9" s="481" t="s">
        <v>60</v>
      </c>
      <c r="F9" s="480" t="s">
        <v>59</v>
      </c>
      <c r="G9" s="481" t="s">
        <v>58</v>
      </c>
      <c r="H9" s="481" t="s">
        <v>57</v>
      </c>
      <c r="I9" s="480" t="s">
        <v>56</v>
      </c>
      <c r="J9" s="481" t="s">
        <v>55</v>
      </c>
      <c r="K9" s="481" t="s">
        <v>54</v>
      </c>
      <c r="L9" s="480" t="s">
        <v>53</v>
      </c>
      <c r="M9" s="481" t="s">
        <v>52</v>
      </c>
      <c r="N9" s="482" t="s">
        <v>51</v>
      </c>
      <c r="O9" s="480" t="s">
        <v>634</v>
      </c>
      <c r="P9" s="481" t="s">
        <v>635</v>
      </c>
      <c r="Q9" s="482" t="s">
        <v>636</v>
      </c>
    </row>
    <row r="10" spans="2:17" x14ac:dyDescent="0.2">
      <c r="B10" s="351" t="s">
        <v>49</v>
      </c>
      <c r="C10" s="352"/>
      <c r="D10" s="348"/>
      <c r="E10" s="348"/>
      <c r="F10" s="352"/>
      <c r="G10" s="348"/>
      <c r="H10" s="348"/>
      <c r="I10" s="352"/>
      <c r="J10" s="348"/>
      <c r="K10" s="348"/>
      <c r="L10" s="352"/>
      <c r="M10" s="348"/>
      <c r="N10" s="347"/>
      <c r="O10" s="352"/>
      <c r="P10" s="348"/>
      <c r="Q10" s="347"/>
    </row>
    <row r="11" spans="2:17" ht="15.95" customHeight="1" x14ac:dyDescent="0.2">
      <c r="B11" s="417" t="s">
        <v>588</v>
      </c>
      <c r="C11" s="349">
        <f>SUM(D11:E11)</f>
        <v>387157</v>
      </c>
      <c r="D11" s="350">
        <f>'PO - doprava'!G17</f>
        <v>387157</v>
      </c>
      <c r="E11" s="350">
        <v>0</v>
      </c>
      <c r="F11" s="349">
        <f>SUM(G11:H11)</f>
        <v>407157</v>
      </c>
      <c r="G11" s="350">
        <f>'PO - doprava'!L17</f>
        <v>407157</v>
      </c>
      <c r="H11" s="350">
        <v>0</v>
      </c>
      <c r="I11" s="349">
        <f>SUM(J11:K11)</f>
        <v>365474</v>
      </c>
      <c r="J11" s="350">
        <f>'PO - doprava'!Q17</f>
        <v>365474</v>
      </c>
      <c r="K11" s="350">
        <v>0</v>
      </c>
      <c r="L11" s="349">
        <f>SUM(M11:N11)</f>
        <v>-21683</v>
      </c>
      <c r="M11" s="348">
        <f>J11-D11</f>
        <v>-21683</v>
      </c>
      <c r="N11" s="347">
        <v>0</v>
      </c>
      <c r="O11" s="613">
        <f>IF(I11=0," ",(IF(C11=0," ",I11/C11*100)))</f>
        <v>94.399429688730933</v>
      </c>
      <c r="P11" s="614">
        <f t="shared" ref="P11:Q11" si="0">IF(J11=0," ",(IF(D11=0," ",J11/D11*100)))</f>
        <v>94.399429688730933</v>
      </c>
      <c r="Q11" s="615" t="str">
        <f t="shared" si="0"/>
        <v xml:space="preserve"> </v>
      </c>
    </row>
    <row r="12" spans="2:17" ht="15.95" customHeight="1" x14ac:dyDescent="0.2">
      <c r="B12" s="351" t="s">
        <v>47</v>
      </c>
      <c r="C12" s="349">
        <f>SUM(D12:E12)</f>
        <v>4766</v>
      </c>
      <c r="D12" s="350">
        <f>'PO - doprava'!H17</f>
        <v>4766</v>
      </c>
      <c r="E12" s="350">
        <v>0</v>
      </c>
      <c r="F12" s="349">
        <f>SUM(G12:H12)</f>
        <v>4766</v>
      </c>
      <c r="G12" s="350">
        <f>'PO - doprava'!M17</f>
        <v>4766</v>
      </c>
      <c r="H12" s="350">
        <v>0</v>
      </c>
      <c r="I12" s="349">
        <f>SUM(J12:K12)</f>
        <v>5066</v>
      </c>
      <c r="J12" s="350">
        <f>'PO - doprava'!R17</f>
        <v>5066</v>
      </c>
      <c r="K12" s="350">
        <v>0</v>
      </c>
      <c r="L12" s="349">
        <f>SUM(M12:N12)</f>
        <v>300</v>
      </c>
      <c r="M12" s="348">
        <f>J12-G12</f>
        <v>300</v>
      </c>
      <c r="N12" s="347">
        <v>0</v>
      </c>
      <c r="O12" s="613">
        <f t="shared" ref="O12:O14" si="1">IF(I12=0," ",(IF(C12=0," ",I12/C12*100)))</f>
        <v>106.29458665547628</v>
      </c>
      <c r="P12" s="614">
        <f t="shared" ref="P12:P14" si="2">IF(J12=0," ",(IF(D12=0," ",J12/D12*100)))</f>
        <v>106.29458665547628</v>
      </c>
      <c r="Q12" s="615" t="str">
        <f t="shared" ref="Q12:Q14" si="3">IF(K12=0," ",(IF(E12=0," ",K12/E12*100)))</f>
        <v xml:space="preserve"> </v>
      </c>
    </row>
    <row r="13" spans="2:17" ht="15.95" customHeight="1" x14ac:dyDescent="0.2">
      <c r="B13" s="351" t="s">
        <v>45</v>
      </c>
      <c r="C13" s="349">
        <f>SUM(D13:E13)</f>
        <v>128130</v>
      </c>
      <c r="D13" s="350">
        <f>'PO - doprava'!J17</f>
        <v>128130</v>
      </c>
      <c r="E13" s="350">
        <v>0</v>
      </c>
      <c r="F13" s="349">
        <f>SUM(G13:H13)</f>
        <v>128130</v>
      </c>
      <c r="G13" s="350">
        <f>'PO - doprava'!O17</f>
        <v>128130</v>
      </c>
      <c r="H13" s="350">
        <v>0</v>
      </c>
      <c r="I13" s="349">
        <f>SUM(J13:K13)</f>
        <v>121147</v>
      </c>
      <c r="J13" s="350">
        <f>'PO - doprava'!T17</f>
        <v>121147</v>
      </c>
      <c r="K13" s="350">
        <v>0</v>
      </c>
      <c r="L13" s="349">
        <f>SUM(M13:N13)</f>
        <v>-6983</v>
      </c>
      <c r="M13" s="348">
        <f>J13-G13</f>
        <v>-6983</v>
      </c>
      <c r="N13" s="347">
        <v>0</v>
      </c>
      <c r="O13" s="613">
        <f t="shared" si="1"/>
        <v>94.550066338874586</v>
      </c>
      <c r="P13" s="614">
        <f t="shared" si="2"/>
        <v>94.550066338874586</v>
      </c>
      <c r="Q13" s="615" t="str">
        <f t="shared" si="3"/>
        <v xml:space="preserve"> </v>
      </c>
    </row>
    <row r="14" spans="2:17" ht="15.95" customHeight="1" thickBot="1" x14ac:dyDescent="0.3">
      <c r="B14" s="346" t="s">
        <v>41</v>
      </c>
      <c r="C14" s="344">
        <f t="shared" ref="C14:N14" si="4">SUM(C11:C13)</f>
        <v>520053</v>
      </c>
      <c r="D14" s="345">
        <f t="shared" si="4"/>
        <v>520053</v>
      </c>
      <c r="E14" s="345">
        <f t="shared" si="4"/>
        <v>0</v>
      </c>
      <c r="F14" s="344">
        <f t="shared" si="4"/>
        <v>540053</v>
      </c>
      <c r="G14" s="345">
        <f t="shared" si="4"/>
        <v>540053</v>
      </c>
      <c r="H14" s="345">
        <f t="shared" si="4"/>
        <v>0</v>
      </c>
      <c r="I14" s="344">
        <f t="shared" si="4"/>
        <v>491687</v>
      </c>
      <c r="J14" s="345">
        <f t="shared" si="4"/>
        <v>491687</v>
      </c>
      <c r="K14" s="345">
        <f t="shared" si="4"/>
        <v>0</v>
      </c>
      <c r="L14" s="344">
        <f t="shared" si="4"/>
        <v>-28366</v>
      </c>
      <c r="M14" s="343">
        <f t="shared" si="4"/>
        <v>-28366</v>
      </c>
      <c r="N14" s="342">
        <f t="shared" si="4"/>
        <v>0</v>
      </c>
      <c r="O14" s="616">
        <f t="shared" si="1"/>
        <v>94.545555933722142</v>
      </c>
      <c r="P14" s="617">
        <f t="shared" si="2"/>
        <v>94.545555933722142</v>
      </c>
      <c r="Q14" s="618" t="str">
        <f t="shared" si="3"/>
        <v xml:space="preserve"> </v>
      </c>
    </row>
    <row r="15" spans="2:17" ht="15" hidden="1" x14ac:dyDescent="0.25">
      <c r="C15" s="451"/>
      <c r="D15" s="452"/>
      <c r="E15" s="451" t="s">
        <v>603</v>
      </c>
      <c r="F15" s="451"/>
      <c r="G15" s="452"/>
      <c r="H15" s="452"/>
      <c r="I15" s="451">
        <v>501987</v>
      </c>
    </row>
    <row r="16" spans="2:17" ht="15.75" hidden="1" thickBot="1" x14ac:dyDescent="0.3">
      <c r="C16" s="453"/>
      <c r="D16" s="454"/>
      <c r="E16" s="453"/>
      <c r="F16" s="453" t="s">
        <v>604</v>
      </c>
      <c r="G16" s="454"/>
      <c r="H16" s="454"/>
      <c r="I16" s="453">
        <f>-I15+I14</f>
        <v>-10300</v>
      </c>
    </row>
    <row r="17" spans="2:17" hidden="1" x14ac:dyDescent="0.2"/>
    <row r="18" spans="2:17" ht="15" hidden="1" x14ac:dyDescent="0.2">
      <c r="B18" s="418" t="s">
        <v>594</v>
      </c>
    </row>
    <row r="19" spans="2:17" ht="15" x14ac:dyDescent="0.2">
      <c r="B19" s="418"/>
    </row>
    <row r="20" spans="2:17" x14ac:dyDescent="0.2">
      <c r="B20" s="84" t="s">
        <v>209</v>
      </c>
      <c r="C20" s="341"/>
      <c r="D20" s="310"/>
      <c r="E20" s="89"/>
      <c r="F20" s="310"/>
      <c r="G20" s="310"/>
      <c r="H20" s="310"/>
      <c r="I20" s="310"/>
      <c r="J20" s="310"/>
      <c r="K20" s="310"/>
    </row>
    <row r="22" spans="2:17" x14ac:dyDescent="0.2">
      <c r="B22" s="750" t="s">
        <v>609</v>
      </c>
      <c r="C22" s="751"/>
      <c r="D22" s="751"/>
      <c r="E22" s="751"/>
      <c r="F22" s="751"/>
      <c r="G22" s="751"/>
      <c r="H22" s="751"/>
      <c r="I22" s="751"/>
      <c r="J22" s="751"/>
      <c r="K22" s="751"/>
    </row>
    <row r="23" spans="2:17" x14ac:dyDescent="0.2">
      <c r="B23" s="750" t="s">
        <v>610</v>
      </c>
      <c r="C23" s="751"/>
      <c r="D23" s="751"/>
      <c r="E23" s="751"/>
      <c r="F23" s="751"/>
      <c r="G23" s="751"/>
      <c r="H23" s="751"/>
      <c r="I23" s="751"/>
      <c r="J23" s="751"/>
      <c r="K23" s="751"/>
    </row>
    <row r="24" spans="2:17" ht="12.75" customHeight="1" x14ac:dyDescent="0.2">
      <c r="B24" s="752" t="s">
        <v>611</v>
      </c>
      <c r="C24" s="752"/>
      <c r="D24" s="752"/>
      <c r="E24" s="752"/>
      <c r="F24" s="752"/>
      <c r="G24" s="752"/>
      <c r="H24" s="752"/>
      <c r="I24" s="752"/>
      <c r="J24" s="752"/>
      <c r="K24" s="752"/>
      <c r="L24" s="671"/>
      <c r="M24" s="671"/>
      <c r="N24" s="671"/>
      <c r="O24" s="671"/>
      <c r="P24" s="671"/>
      <c r="Q24" s="671"/>
    </row>
    <row r="25" spans="2:17" x14ac:dyDescent="0.2">
      <c r="B25" s="752"/>
      <c r="C25" s="752"/>
      <c r="D25" s="752"/>
      <c r="E25" s="752"/>
      <c r="F25" s="752"/>
      <c r="G25" s="752"/>
      <c r="H25" s="752"/>
      <c r="I25" s="752"/>
      <c r="J25" s="752"/>
      <c r="K25" s="752"/>
      <c r="L25" s="671"/>
      <c r="M25" s="671"/>
      <c r="N25" s="671"/>
      <c r="O25" s="671"/>
      <c r="P25" s="671"/>
      <c r="Q25" s="671"/>
    </row>
    <row r="26" spans="2:17" ht="14.25" customHeight="1" x14ac:dyDescent="0.2">
      <c r="B26" s="752"/>
      <c r="C26" s="752"/>
      <c r="D26" s="752"/>
      <c r="E26" s="752"/>
      <c r="F26" s="752"/>
      <c r="G26" s="752"/>
      <c r="H26" s="752"/>
      <c r="I26" s="752"/>
      <c r="J26" s="752"/>
      <c r="K26" s="752"/>
      <c r="L26" s="671"/>
      <c r="M26" s="671"/>
      <c r="N26" s="671"/>
      <c r="O26" s="671"/>
      <c r="P26" s="671"/>
      <c r="Q26" s="671"/>
    </row>
    <row r="27" spans="2:17" x14ac:dyDescent="0.2">
      <c r="B27" s="340"/>
      <c r="C27" s="340"/>
      <c r="D27" s="340"/>
      <c r="E27" s="340"/>
      <c r="F27" s="340"/>
      <c r="G27" s="340"/>
      <c r="H27" s="340"/>
      <c r="I27" s="340"/>
      <c r="J27" s="340"/>
      <c r="K27" s="340"/>
    </row>
    <row r="28" spans="2:17" x14ac:dyDescent="0.2">
      <c r="B28" s="753" t="s">
        <v>562</v>
      </c>
      <c r="C28" s="753"/>
      <c r="D28" s="753"/>
      <c r="E28" s="753"/>
      <c r="F28" s="753"/>
      <c r="G28" s="753"/>
      <c r="H28" s="753"/>
      <c r="I28" s="753"/>
      <c r="J28" s="753"/>
      <c r="K28" s="753"/>
    </row>
    <row r="29" spans="2:17" x14ac:dyDescent="0.2">
      <c r="B29" s="750" t="s">
        <v>601</v>
      </c>
      <c r="C29" s="751"/>
      <c r="D29" s="751"/>
      <c r="E29" s="751"/>
      <c r="F29" s="751"/>
      <c r="G29" s="751"/>
      <c r="H29" s="751"/>
      <c r="I29" s="751"/>
      <c r="J29" s="751"/>
      <c r="K29" s="751"/>
    </row>
    <row r="30" spans="2:17" x14ac:dyDescent="0.2">
      <c r="B30" s="750" t="s">
        <v>602</v>
      </c>
      <c r="C30" s="751"/>
      <c r="D30" s="751"/>
      <c r="E30" s="751"/>
      <c r="F30" s="751"/>
      <c r="G30" s="751"/>
      <c r="H30" s="751"/>
      <c r="I30" s="751"/>
      <c r="J30" s="751"/>
      <c r="K30" s="751"/>
    </row>
    <row r="31" spans="2:17" ht="14.25" customHeight="1" x14ac:dyDescent="0.2">
      <c r="B31" s="750" t="s">
        <v>582</v>
      </c>
      <c r="C31" s="751"/>
      <c r="D31" s="751"/>
      <c r="E31" s="751"/>
      <c r="F31" s="751"/>
      <c r="G31" s="751"/>
      <c r="H31" s="751"/>
      <c r="I31" s="751"/>
      <c r="J31" s="751"/>
      <c r="K31" s="751"/>
    </row>
    <row r="32" spans="2:17" ht="12.75" customHeight="1" x14ac:dyDescent="0.2"/>
    <row r="33" spans="2:17" x14ac:dyDescent="0.2">
      <c r="B33" s="747" t="s">
        <v>626</v>
      </c>
      <c r="C33" s="675"/>
      <c r="D33" s="675"/>
      <c r="E33" s="675"/>
      <c r="F33" s="675"/>
      <c r="G33" s="675"/>
      <c r="H33" s="675"/>
      <c r="I33" s="675"/>
      <c r="J33" s="675"/>
      <c r="K33" s="675"/>
      <c r="L33" s="675"/>
      <c r="M33" s="675"/>
      <c r="N33" s="675"/>
      <c r="O33" s="675"/>
      <c r="P33" s="675"/>
      <c r="Q33" s="675"/>
    </row>
  </sheetData>
  <mergeCells count="28">
    <mergeCell ref="B30:K30"/>
    <mergeCell ref="B31:K31"/>
    <mergeCell ref="B22:K22"/>
    <mergeCell ref="B23:K23"/>
    <mergeCell ref="B28:K28"/>
    <mergeCell ref="M7:N7"/>
    <mergeCell ref="B7:B8"/>
    <mergeCell ref="C7:C8"/>
    <mergeCell ref="D7:E7"/>
    <mergeCell ref="F7:F8"/>
    <mergeCell ref="G7:H7"/>
    <mergeCell ref="I7:I8"/>
    <mergeCell ref="B33:Q33"/>
    <mergeCell ref="O3:Q3"/>
    <mergeCell ref="O4:Q4"/>
    <mergeCell ref="O6:Q6"/>
    <mergeCell ref="O7:O8"/>
    <mergeCell ref="P7:Q7"/>
    <mergeCell ref="B29:K29"/>
    <mergeCell ref="L3:N3"/>
    <mergeCell ref="L4:N4"/>
    <mergeCell ref="C6:E6"/>
    <mergeCell ref="F6:H6"/>
    <mergeCell ref="I6:K6"/>
    <mergeCell ref="L6:N6"/>
    <mergeCell ref="B24:Q26"/>
    <mergeCell ref="J7:K7"/>
    <mergeCell ref="L7:L8"/>
  </mergeCells>
  <pageMargins left="0.70866141732283472" right="0.70866141732283472" top="0.78740157480314965" bottom="0.78740157480314965" header="0.31496062992125984" footer="0.31496062992125984"/>
  <pageSetup paperSize="9" scale="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2:AD17"/>
  <sheetViews>
    <sheetView showGridLines="0" workbookViewId="0">
      <selection activeCell="AB15" sqref="AB15"/>
    </sheetView>
  </sheetViews>
  <sheetFormatPr defaultRowHeight="12.75" x14ac:dyDescent="0.2"/>
  <cols>
    <col min="1" max="1" width="2.7109375" customWidth="1"/>
    <col min="2" max="2" width="14.7109375" customWidth="1"/>
    <col min="3" max="3" width="6.7109375" customWidth="1"/>
    <col min="4" max="4" width="10.7109375" hidden="1" customWidth="1"/>
    <col min="5" max="5" width="45.7109375" customWidth="1"/>
    <col min="6" max="6" width="12.7109375" style="1" customWidth="1"/>
    <col min="7" max="10" width="9.7109375" style="1"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30" width="9.7109375" style="1" customWidth="1"/>
  </cols>
  <sheetData>
    <row r="2" spans="2:30" ht="21.75" x14ac:dyDescent="0.3">
      <c r="B2" s="2" t="s">
        <v>174</v>
      </c>
      <c r="C2" s="3"/>
      <c r="D2" s="3"/>
      <c r="E2" s="3"/>
      <c r="F2" s="4"/>
      <c r="G2" s="4"/>
      <c r="H2" s="4"/>
      <c r="I2" s="4"/>
      <c r="J2" s="4"/>
      <c r="K2" s="5"/>
      <c r="L2" s="5"/>
      <c r="M2" s="5"/>
      <c r="N2" s="5"/>
      <c r="O2" s="5"/>
      <c r="P2" s="5"/>
      <c r="Q2" s="5"/>
      <c r="R2" s="5"/>
      <c r="S2" s="5"/>
      <c r="T2" s="5"/>
      <c r="U2" s="5"/>
      <c r="V2" s="5"/>
      <c r="W2" s="6" t="s">
        <v>432</v>
      </c>
      <c r="X2" s="5"/>
      <c r="Y2" s="5" t="s">
        <v>432</v>
      </c>
      <c r="Z2" s="5"/>
      <c r="AA2" s="5"/>
      <c r="AB2" s="6" t="s">
        <v>432</v>
      </c>
      <c r="AC2" s="5"/>
      <c r="AD2" s="5" t="s">
        <v>432</v>
      </c>
    </row>
    <row r="3" spans="2:30" ht="15.75" x14ac:dyDescent="0.25">
      <c r="B3" s="7" t="s">
        <v>2</v>
      </c>
      <c r="C3" s="7" t="s">
        <v>493</v>
      </c>
      <c r="D3" s="8"/>
      <c r="E3" s="9"/>
      <c r="F3" s="10"/>
      <c r="G3" s="10"/>
      <c r="H3" s="10"/>
      <c r="I3" s="10"/>
      <c r="J3" s="10"/>
      <c r="K3" s="11"/>
      <c r="L3" s="11"/>
      <c r="M3" s="11"/>
      <c r="N3" s="11"/>
      <c r="O3" s="11"/>
      <c r="P3" s="11"/>
      <c r="Q3" s="11"/>
      <c r="R3" s="11"/>
      <c r="S3" s="11"/>
      <c r="T3" s="11"/>
      <c r="U3" s="11"/>
      <c r="V3" s="11"/>
      <c r="W3" s="11"/>
      <c r="X3" s="11"/>
      <c r="Y3" s="11"/>
      <c r="Z3" s="11"/>
      <c r="AA3" s="11"/>
      <c r="AB3" s="11"/>
      <c r="AC3" s="11"/>
      <c r="AD3" s="11"/>
    </row>
    <row r="4" spans="2:30" ht="15.75" x14ac:dyDescent="0.25">
      <c r="B4" s="8"/>
      <c r="C4" s="7" t="s">
        <v>4</v>
      </c>
      <c r="D4" s="8"/>
      <c r="E4" s="9"/>
      <c r="F4" s="10"/>
      <c r="G4" s="10"/>
      <c r="H4" s="10"/>
      <c r="I4" s="10"/>
      <c r="J4" s="10"/>
      <c r="K4" s="11"/>
      <c r="L4" s="11"/>
      <c r="M4" s="11"/>
      <c r="N4" s="11"/>
      <c r="O4" s="11"/>
      <c r="P4" s="11"/>
      <c r="Q4" s="11"/>
      <c r="R4" s="11"/>
      <c r="S4" s="11"/>
      <c r="T4" s="11"/>
      <c r="U4" s="11"/>
      <c r="V4" s="11"/>
      <c r="W4" s="11"/>
      <c r="X4" s="11"/>
      <c r="Y4" s="11"/>
      <c r="Z4" s="11"/>
      <c r="AA4" s="11"/>
      <c r="AB4" s="11"/>
      <c r="AC4" s="11"/>
      <c r="AD4" s="11"/>
    </row>
    <row r="5" spans="2:30" ht="18" x14ac:dyDescent="0.25">
      <c r="B5" s="12"/>
      <c r="C5" s="12"/>
      <c r="D5" s="12"/>
      <c r="E5" s="12"/>
      <c r="F5" s="13"/>
      <c r="G5" s="13"/>
      <c r="H5" s="13"/>
      <c r="I5" s="13"/>
      <c r="J5" s="13"/>
      <c r="K5" s="13"/>
      <c r="L5" s="13"/>
      <c r="M5" s="13"/>
      <c r="N5" s="13"/>
      <c r="O5" s="13"/>
      <c r="P5" s="13"/>
      <c r="Q5" s="13"/>
      <c r="R5" s="13"/>
      <c r="S5" s="13"/>
      <c r="T5" s="13"/>
      <c r="U5" s="13"/>
      <c r="V5" s="13"/>
      <c r="W5" s="13"/>
      <c r="X5" s="13"/>
      <c r="Y5" s="13"/>
      <c r="Z5" s="13"/>
      <c r="AA5" s="13"/>
      <c r="AB5" s="13"/>
      <c r="AC5" s="13"/>
      <c r="AD5" s="13"/>
    </row>
    <row r="7" spans="2:30" ht="13.5" thickBot="1" x14ac:dyDescent="0.25">
      <c r="B7" s="201"/>
      <c r="C7" s="201"/>
      <c r="D7" s="201"/>
      <c r="E7" s="201"/>
      <c r="F7" s="200"/>
      <c r="G7" s="200"/>
      <c r="H7" s="200"/>
      <c r="I7" s="200"/>
      <c r="J7" s="200"/>
      <c r="K7" s="200"/>
      <c r="L7" s="200"/>
      <c r="M7" s="200"/>
      <c r="N7" s="200"/>
      <c r="O7" s="200"/>
      <c r="P7" s="200"/>
      <c r="Q7" s="200"/>
      <c r="R7" s="200"/>
      <c r="S7" s="200"/>
      <c r="T7" s="200"/>
      <c r="U7" s="200"/>
      <c r="V7" s="200"/>
      <c r="W7" s="200"/>
      <c r="X7" s="200"/>
      <c r="Y7" s="200" t="s">
        <v>5</v>
      </c>
      <c r="Z7" s="200"/>
      <c r="AA7" s="200"/>
      <c r="AB7" s="200"/>
      <c r="AC7" s="200"/>
      <c r="AD7" s="200" t="s">
        <v>5</v>
      </c>
    </row>
    <row r="8" spans="2:30" x14ac:dyDescent="0.2">
      <c r="B8" s="477"/>
      <c r="C8" s="483"/>
      <c r="D8" s="477"/>
      <c r="E8" s="477"/>
      <c r="F8" s="710" t="s">
        <v>548</v>
      </c>
      <c r="G8" s="711"/>
      <c r="H8" s="711"/>
      <c r="I8" s="711"/>
      <c r="J8" s="712"/>
      <c r="K8" s="710" t="s">
        <v>561</v>
      </c>
      <c r="L8" s="711"/>
      <c r="M8" s="711"/>
      <c r="N8" s="711"/>
      <c r="O8" s="712"/>
      <c r="P8" s="710" t="s">
        <v>558</v>
      </c>
      <c r="Q8" s="711"/>
      <c r="R8" s="711"/>
      <c r="S8" s="711"/>
      <c r="T8" s="711"/>
      <c r="U8" s="710" t="s">
        <v>6</v>
      </c>
      <c r="V8" s="711"/>
      <c r="W8" s="711"/>
      <c r="X8" s="711"/>
      <c r="Y8" s="712"/>
      <c r="Z8" s="710" t="s">
        <v>639</v>
      </c>
      <c r="AA8" s="711"/>
      <c r="AB8" s="711"/>
      <c r="AC8" s="711"/>
      <c r="AD8" s="712"/>
    </row>
    <row r="9" spans="2:30" ht="18" customHeight="1" x14ac:dyDescent="0.2">
      <c r="B9" s="718" t="s">
        <v>7</v>
      </c>
      <c r="C9" s="719"/>
      <c r="D9" s="484" t="s">
        <v>8</v>
      </c>
      <c r="E9" s="485" t="s">
        <v>9</v>
      </c>
      <c r="F9" s="486"/>
      <c r="G9" s="487" t="s">
        <v>10</v>
      </c>
      <c r="H9" s="486"/>
      <c r="I9" s="486"/>
      <c r="J9" s="486"/>
      <c r="K9" s="488"/>
      <c r="L9" s="487" t="s">
        <v>10</v>
      </c>
      <c r="M9" s="486"/>
      <c r="N9" s="486"/>
      <c r="O9" s="486"/>
      <c r="P9" s="488"/>
      <c r="Q9" s="487" t="s">
        <v>10</v>
      </c>
      <c r="R9" s="486"/>
      <c r="S9" s="486"/>
      <c r="T9" s="486"/>
      <c r="U9" s="488"/>
      <c r="V9" s="487" t="s">
        <v>10</v>
      </c>
      <c r="W9" s="489"/>
      <c r="X9" s="489"/>
      <c r="Y9" s="490"/>
      <c r="Z9" s="488"/>
      <c r="AA9" s="487" t="s">
        <v>10</v>
      </c>
      <c r="AB9" s="489"/>
      <c r="AC9" s="489"/>
      <c r="AD9" s="490"/>
    </row>
    <row r="10" spans="2:30" ht="48" customHeight="1" x14ac:dyDescent="0.2">
      <c r="B10" s="491"/>
      <c r="C10" s="492"/>
      <c r="D10" s="491"/>
      <c r="E10" s="491"/>
      <c r="F10" s="493" t="s">
        <v>11</v>
      </c>
      <c r="G10" s="494" t="s">
        <v>12</v>
      </c>
      <c r="H10" s="494" t="s">
        <v>13</v>
      </c>
      <c r="I10" s="494" t="s">
        <v>14</v>
      </c>
      <c r="J10" s="494" t="s">
        <v>15</v>
      </c>
      <c r="K10" s="493" t="s">
        <v>11</v>
      </c>
      <c r="L10" s="494" t="s">
        <v>12</v>
      </c>
      <c r="M10" s="494" t="s">
        <v>13</v>
      </c>
      <c r="N10" s="494" t="s">
        <v>14</v>
      </c>
      <c r="O10" s="494" t="s">
        <v>15</v>
      </c>
      <c r="P10" s="493" t="s">
        <v>11</v>
      </c>
      <c r="Q10" s="494" t="s">
        <v>12</v>
      </c>
      <c r="R10" s="494" t="s">
        <v>13</v>
      </c>
      <c r="S10" s="494" t="s">
        <v>14</v>
      </c>
      <c r="T10" s="494" t="s">
        <v>15</v>
      </c>
      <c r="U10" s="493" t="s">
        <v>11</v>
      </c>
      <c r="V10" s="494" t="s">
        <v>12</v>
      </c>
      <c r="W10" s="494" t="s">
        <v>13</v>
      </c>
      <c r="X10" s="494" t="s">
        <v>14</v>
      </c>
      <c r="Y10" s="495" t="s">
        <v>15</v>
      </c>
      <c r="Z10" s="493" t="s">
        <v>11</v>
      </c>
      <c r="AA10" s="494" t="s">
        <v>12</v>
      </c>
      <c r="AB10" s="494" t="s">
        <v>13</v>
      </c>
      <c r="AC10" s="494" t="s">
        <v>14</v>
      </c>
      <c r="AD10" s="495" t="s">
        <v>15</v>
      </c>
    </row>
    <row r="11" spans="2:30" ht="13.5" thickBot="1" x14ac:dyDescent="0.25">
      <c r="B11" s="496" t="s">
        <v>16</v>
      </c>
      <c r="C11" s="497" t="s">
        <v>17</v>
      </c>
      <c r="D11" s="479"/>
      <c r="E11" s="479"/>
      <c r="F11" s="480"/>
      <c r="G11" s="481" t="s">
        <v>18</v>
      </c>
      <c r="H11" s="481" t="s">
        <v>19</v>
      </c>
      <c r="I11" s="481" t="s">
        <v>20</v>
      </c>
      <c r="J11" s="481" t="s">
        <v>21</v>
      </c>
      <c r="K11" s="480"/>
      <c r="L11" s="498" t="s">
        <v>585</v>
      </c>
      <c r="M11" s="481" t="s">
        <v>19</v>
      </c>
      <c r="N11" s="481" t="s">
        <v>20</v>
      </c>
      <c r="O11" s="481" t="s">
        <v>21</v>
      </c>
      <c r="P11" s="480"/>
      <c r="Q11" s="481" t="s">
        <v>18</v>
      </c>
      <c r="R11" s="481" t="s">
        <v>19</v>
      </c>
      <c r="S11" s="481" t="s">
        <v>20</v>
      </c>
      <c r="T11" s="481" t="s">
        <v>21</v>
      </c>
      <c r="U11" s="480"/>
      <c r="V11" s="481" t="s">
        <v>18</v>
      </c>
      <c r="W11" s="481" t="s">
        <v>19</v>
      </c>
      <c r="X11" s="481" t="s">
        <v>20</v>
      </c>
      <c r="Y11" s="482" t="s">
        <v>21</v>
      </c>
      <c r="Z11" s="480"/>
      <c r="AA11" s="481" t="s">
        <v>18</v>
      </c>
      <c r="AB11" s="481" t="s">
        <v>19</v>
      </c>
      <c r="AC11" s="481" t="s">
        <v>20</v>
      </c>
      <c r="AD11" s="482" t="s">
        <v>21</v>
      </c>
    </row>
    <row r="12" spans="2:30" ht="13.5" thickBot="1" x14ac:dyDescent="0.25">
      <c r="B12" s="499"/>
      <c r="C12" s="500"/>
      <c r="D12" s="499"/>
      <c r="E12" s="499"/>
      <c r="F12" s="501" t="s">
        <v>22</v>
      </c>
      <c r="G12" s="713" t="s">
        <v>22</v>
      </c>
      <c r="H12" s="714"/>
      <c r="I12" s="714"/>
      <c r="J12" s="715"/>
      <c r="K12" s="501" t="s">
        <v>22</v>
      </c>
      <c r="L12" s="713" t="s">
        <v>22</v>
      </c>
      <c r="M12" s="714"/>
      <c r="N12" s="714"/>
      <c r="O12" s="715"/>
      <c r="P12" s="501" t="s">
        <v>22</v>
      </c>
      <c r="Q12" s="713" t="s">
        <v>22</v>
      </c>
      <c r="R12" s="714"/>
      <c r="S12" s="714"/>
      <c r="T12" s="714"/>
      <c r="U12" s="501" t="s">
        <v>22</v>
      </c>
      <c r="V12" s="713" t="s">
        <v>22</v>
      </c>
      <c r="W12" s="714"/>
      <c r="X12" s="714"/>
      <c r="Y12" s="715"/>
      <c r="Z12" s="501" t="s">
        <v>22</v>
      </c>
      <c r="AA12" s="713" t="s">
        <v>22</v>
      </c>
      <c r="AB12" s="714"/>
      <c r="AC12" s="714"/>
      <c r="AD12" s="715"/>
    </row>
    <row r="13" spans="2:30" ht="15" thickBot="1" x14ac:dyDescent="0.25">
      <c r="B13" s="339" t="s">
        <v>435</v>
      </c>
      <c r="C13" s="338" t="s">
        <v>492</v>
      </c>
      <c r="D13" s="337"/>
      <c r="E13" s="35" t="s">
        <v>491</v>
      </c>
      <c r="F13" s="30">
        <f>SUM(G13:J13)</f>
        <v>12500</v>
      </c>
      <c r="G13" s="27">
        <v>7604</v>
      </c>
      <c r="H13" s="27">
        <v>4766</v>
      </c>
      <c r="I13" s="27">
        <v>0</v>
      </c>
      <c r="J13" s="27">
        <v>130</v>
      </c>
      <c r="K13" s="30">
        <f>SUM(L13:O13)</f>
        <v>12500</v>
      </c>
      <c r="L13" s="27">
        <v>7604</v>
      </c>
      <c r="M13" s="27">
        <v>4766</v>
      </c>
      <c r="N13" s="27">
        <v>0</v>
      </c>
      <c r="O13" s="27">
        <v>130</v>
      </c>
      <c r="P13" s="30">
        <f>SUM(Q13:T13)</f>
        <v>13112</v>
      </c>
      <c r="Q13" s="27">
        <f>ROUND(789920/100,0)</f>
        <v>7899</v>
      </c>
      <c r="R13" s="27">
        <f>5366-300</f>
        <v>5066</v>
      </c>
      <c r="S13" s="27">
        <v>0</v>
      </c>
      <c r="T13" s="27">
        <v>147</v>
      </c>
      <c r="U13" s="30">
        <f>SUM(V13:Y13)</f>
        <v>612</v>
      </c>
      <c r="V13" s="27">
        <f>Q13-G13</f>
        <v>295</v>
      </c>
      <c r="W13" s="27">
        <f>R13-H13</f>
        <v>300</v>
      </c>
      <c r="X13" s="27">
        <v>0</v>
      </c>
      <c r="Y13" s="31">
        <v>17</v>
      </c>
      <c r="Z13" s="559">
        <f>IF(P13=0," ",IF(F13=0," ",P13/F13*100))</f>
        <v>104.89599999999999</v>
      </c>
      <c r="AA13" s="577">
        <f t="shared" ref="AA13:AD13" si="0">IF(Q13=0," ",IF(G13=0," ",Q13/G13*100))</f>
        <v>103.87953708574436</v>
      </c>
      <c r="AB13" s="577">
        <f t="shared" si="0"/>
        <v>106.29458665547628</v>
      </c>
      <c r="AC13" s="577" t="str">
        <f t="shared" si="0"/>
        <v xml:space="preserve"> </v>
      </c>
      <c r="AD13" s="562">
        <f t="shared" si="0"/>
        <v>113.07692307692308</v>
      </c>
    </row>
    <row r="14" spans="2:30" ht="15.75" thickBot="1" x14ac:dyDescent="0.25">
      <c r="B14" s="336" t="s">
        <v>435</v>
      </c>
      <c r="C14" s="335"/>
      <c r="D14" s="334"/>
      <c r="E14" s="333" t="s">
        <v>491</v>
      </c>
      <c r="F14" s="332">
        <f>SUM(G14:J14)</f>
        <v>12500</v>
      </c>
      <c r="G14" s="331">
        <f>G13</f>
        <v>7604</v>
      </c>
      <c r="H14" s="331">
        <f>H13</f>
        <v>4766</v>
      </c>
      <c r="I14" s="331">
        <f>I13</f>
        <v>0</v>
      </c>
      <c r="J14" s="331">
        <f>J13</f>
        <v>130</v>
      </c>
      <c r="K14" s="34">
        <f>SUM(L14:O14)</f>
        <v>12500</v>
      </c>
      <c r="L14" s="331">
        <f>L13</f>
        <v>7604</v>
      </c>
      <c r="M14" s="331">
        <f>M13</f>
        <v>4766</v>
      </c>
      <c r="N14" s="331">
        <f>N13</f>
        <v>0</v>
      </c>
      <c r="O14" s="331">
        <f>O13</f>
        <v>130</v>
      </c>
      <c r="P14" s="332">
        <f>SUM(Q14:T14)</f>
        <v>13112</v>
      </c>
      <c r="Q14" s="331">
        <f>Q13</f>
        <v>7899</v>
      </c>
      <c r="R14" s="331">
        <f>R13</f>
        <v>5066</v>
      </c>
      <c r="S14" s="331">
        <f>S13</f>
        <v>0</v>
      </c>
      <c r="T14" s="331">
        <f>T13</f>
        <v>147</v>
      </c>
      <c r="U14" s="332">
        <f>SUM(V14:Y14)</f>
        <v>612</v>
      </c>
      <c r="V14" s="331">
        <f>V13</f>
        <v>295</v>
      </c>
      <c r="W14" s="331">
        <f>W13</f>
        <v>300</v>
      </c>
      <c r="X14" s="331">
        <f>X13</f>
        <v>0</v>
      </c>
      <c r="Y14" s="330">
        <f>Y13</f>
        <v>17</v>
      </c>
      <c r="Z14" s="587">
        <f t="shared" ref="Z14:Z17" si="1">IF(P14=0," ",IF(F14=0," ",P14/F14*100))</f>
        <v>104.89599999999999</v>
      </c>
      <c r="AA14" s="578">
        <f t="shared" ref="AA14:AA17" si="2">IF(Q14=0," ",IF(G14=0," ",Q14/G14*100))</f>
        <v>103.87953708574436</v>
      </c>
      <c r="AB14" s="578">
        <f t="shared" ref="AB14:AB17" si="3">IF(R14=0," ",IF(H14=0," ",R14/H14*100))</f>
        <v>106.29458665547628</v>
      </c>
      <c r="AC14" s="578" t="str">
        <f t="shared" ref="AC14:AC17" si="4">IF(S14=0," ",IF(I14=0," ",S14/I14*100))</f>
        <v xml:space="preserve"> </v>
      </c>
      <c r="AD14" s="579">
        <f t="shared" ref="AD14:AD17" si="5">IF(T14=0," ",IF(J14=0," ",T14/J14*100))</f>
        <v>113.07692307692308</v>
      </c>
    </row>
    <row r="15" spans="2:30" ht="15" thickBot="1" x14ac:dyDescent="0.25">
      <c r="B15" s="339" t="s">
        <v>434</v>
      </c>
      <c r="C15" s="338" t="s">
        <v>490</v>
      </c>
      <c r="D15" s="337"/>
      <c r="E15" s="35" t="s">
        <v>433</v>
      </c>
      <c r="F15" s="30">
        <f>SUM(G15:J15)</f>
        <v>507553</v>
      </c>
      <c r="G15" s="27">
        <v>379553</v>
      </c>
      <c r="H15" s="27">
        <v>0</v>
      </c>
      <c r="I15" s="27">
        <v>0</v>
      </c>
      <c r="J15" s="27">
        <v>128000</v>
      </c>
      <c r="K15" s="30">
        <f>SUM(L15:O15)</f>
        <v>527553</v>
      </c>
      <c r="L15" s="27">
        <f>379553+20000</f>
        <v>399553</v>
      </c>
      <c r="M15" s="27">
        <v>0</v>
      </c>
      <c r="N15" s="27">
        <v>0</v>
      </c>
      <c r="O15" s="27">
        <v>128000</v>
      </c>
      <c r="P15" s="30">
        <f>SUM(Q15:T15)</f>
        <v>478575</v>
      </c>
      <c r="Q15" s="27">
        <f>366575-6000-3000</f>
        <v>357575</v>
      </c>
      <c r="R15" s="27">
        <v>0</v>
      </c>
      <c r="S15" s="27">
        <v>0</v>
      </c>
      <c r="T15" s="27">
        <f>122000-1000</f>
        <v>121000</v>
      </c>
      <c r="U15" s="30">
        <f>SUM(V15:Y15)</f>
        <v>-28978</v>
      </c>
      <c r="V15" s="27">
        <f>Q15-G15</f>
        <v>-21978</v>
      </c>
      <c r="W15" s="27">
        <v>0</v>
      </c>
      <c r="X15" s="27">
        <v>0</v>
      </c>
      <c r="Y15" s="31">
        <f>T15-J15</f>
        <v>-7000</v>
      </c>
      <c r="Z15" s="559">
        <f t="shared" si="1"/>
        <v>94.290645508941935</v>
      </c>
      <c r="AA15" s="577">
        <f t="shared" si="2"/>
        <v>94.2095043379976</v>
      </c>
      <c r="AB15" s="577" t="str">
        <f t="shared" si="3"/>
        <v xml:space="preserve"> </v>
      </c>
      <c r="AC15" s="577" t="str">
        <f t="shared" si="4"/>
        <v xml:space="preserve"> </v>
      </c>
      <c r="AD15" s="562">
        <f t="shared" si="5"/>
        <v>94.53125</v>
      </c>
    </row>
    <row r="16" spans="2:30" ht="15.75" thickBot="1" x14ac:dyDescent="0.25">
      <c r="B16" s="336" t="s">
        <v>434</v>
      </c>
      <c r="C16" s="335"/>
      <c r="D16" s="334"/>
      <c r="E16" s="333" t="s">
        <v>433</v>
      </c>
      <c r="F16" s="332">
        <f>SUM(G16:J16)</f>
        <v>507553</v>
      </c>
      <c r="G16" s="331">
        <f>G15</f>
        <v>379553</v>
      </c>
      <c r="H16" s="331">
        <f>H15</f>
        <v>0</v>
      </c>
      <c r="I16" s="331">
        <f>I15</f>
        <v>0</v>
      </c>
      <c r="J16" s="331">
        <f>J15</f>
        <v>128000</v>
      </c>
      <c r="K16" s="34">
        <f>SUM(L16:O16)</f>
        <v>527553</v>
      </c>
      <c r="L16" s="331">
        <f>L15</f>
        <v>399553</v>
      </c>
      <c r="M16" s="331">
        <f>M15</f>
        <v>0</v>
      </c>
      <c r="N16" s="331">
        <f>N15</f>
        <v>0</v>
      </c>
      <c r="O16" s="331">
        <f>O15</f>
        <v>128000</v>
      </c>
      <c r="P16" s="332">
        <f>SUM(Q16:T16)</f>
        <v>478575</v>
      </c>
      <c r="Q16" s="331">
        <f>Q15</f>
        <v>357575</v>
      </c>
      <c r="R16" s="331">
        <f>R15</f>
        <v>0</v>
      </c>
      <c r="S16" s="331">
        <f>S15</f>
        <v>0</v>
      </c>
      <c r="T16" s="331">
        <f>T15</f>
        <v>121000</v>
      </c>
      <c r="U16" s="332">
        <f>SUM(V16:Y16)</f>
        <v>-28978</v>
      </c>
      <c r="V16" s="331">
        <f>V15</f>
        <v>-21978</v>
      </c>
      <c r="W16" s="331">
        <f>W15</f>
        <v>0</v>
      </c>
      <c r="X16" s="331">
        <f>X15</f>
        <v>0</v>
      </c>
      <c r="Y16" s="330">
        <f>Y15</f>
        <v>-7000</v>
      </c>
      <c r="Z16" s="587">
        <f t="shared" si="1"/>
        <v>94.290645508941935</v>
      </c>
      <c r="AA16" s="578">
        <f t="shared" si="2"/>
        <v>94.2095043379976</v>
      </c>
      <c r="AB16" s="578" t="str">
        <f t="shared" si="3"/>
        <v xml:space="preserve"> </v>
      </c>
      <c r="AC16" s="578" t="str">
        <f t="shared" si="4"/>
        <v xml:space="preserve"> </v>
      </c>
      <c r="AD16" s="579">
        <f t="shared" si="5"/>
        <v>94.53125</v>
      </c>
    </row>
    <row r="17" spans="2:30" ht="15.75" thickBot="1" x14ac:dyDescent="0.25">
      <c r="B17" s="716" t="s">
        <v>40</v>
      </c>
      <c r="C17" s="717"/>
      <c r="D17" s="32"/>
      <c r="E17" s="33"/>
      <c r="F17" s="34">
        <f t="shared" ref="F17:Y17" si="6">F16+F14</f>
        <v>520053</v>
      </c>
      <c r="G17" s="70">
        <f t="shared" si="6"/>
        <v>387157</v>
      </c>
      <c r="H17" s="70">
        <f t="shared" si="6"/>
        <v>4766</v>
      </c>
      <c r="I17" s="70">
        <f t="shared" si="6"/>
        <v>0</v>
      </c>
      <c r="J17" s="70">
        <f t="shared" si="6"/>
        <v>128130</v>
      </c>
      <c r="K17" s="70">
        <f t="shared" si="6"/>
        <v>540053</v>
      </c>
      <c r="L17" s="70">
        <f t="shared" si="6"/>
        <v>407157</v>
      </c>
      <c r="M17" s="70">
        <f t="shared" si="6"/>
        <v>4766</v>
      </c>
      <c r="N17" s="70">
        <f t="shared" si="6"/>
        <v>0</v>
      </c>
      <c r="O17" s="70">
        <f t="shared" si="6"/>
        <v>128130</v>
      </c>
      <c r="P17" s="70">
        <f t="shared" si="6"/>
        <v>491687</v>
      </c>
      <c r="Q17" s="409">
        <f t="shared" si="6"/>
        <v>365474</v>
      </c>
      <c r="R17" s="70">
        <f t="shared" si="6"/>
        <v>5066</v>
      </c>
      <c r="S17" s="70">
        <f t="shared" si="6"/>
        <v>0</v>
      </c>
      <c r="T17" s="70">
        <f t="shared" si="6"/>
        <v>121147</v>
      </c>
      <c r="U17" s="34">
        <f>U16+U14</f>
        <v>-28366</v>
      </c>
      <c r="V17" s="70">
        <f>V16+V14</f>
        <v>-21683</v>
      </c>
      <c r="W17" s="70">
        <f t="shared" si="6"/>
        <v>300</v>
      </c>
      <c r="X17" s="70">
        <f t="shared" si="6"/>
        <v>0</v>
      </c>
      <c r="Y17" s="69">
        <f t="shared" si="6"/>
        <v>-6983</v>
      </c>
      <c r="Z17" s="564">
        <f t="shared" si="1"/>
        <v>94.545555933722142</v>
      </c>
      <c r="AA17" s="586">
        <f t="shared" si="2"/>
        <v>94.399429688730933</v>
      </c>
      <c r="AB17" s="580">
        <f t="shared" si="3"/>
        <v>106.29458665547628</v>
      </c>
      <c r="AC17" s="580" t="str">
        <f t="shared" si="4"/>
        <v xml:space="preserve"> </v>
      </c>
      <c r="AD17" s="567">
        <f t="shared" si="5"/>
        <v>94.550066338874586</v>
      </c>
    </row>
  </sheetData>
  <mergeCells count="12">
    <mergeCell ref="Z8:AD8"/>
    <mergeCell ref="AA12:AD12"/>
    <mergeCell ref="B17:C17"/>
    <mergeCell ref="F8:J8"/>
    <mergeCell ref="K8:O8"/>
    <mergeCell ref="P8:T8"/>
    <mergeCell ref="U8:Y8"/>
    <mergeCell ref="B9:C9"/>
    <mergeCell ref="G12:J12"/>
    <mergeCell ref="L12:O12"/>
    <mergeCell ref="Q12:T12"/>
    <mergeCell ref="V12:Y12"/>
  </mergeCells>
  <pageMargins left="0.70866141732283472" right="0.70866141732283472" top="0.78740157480314965" bottom="0.78740157480314965" header="0.31496062992125984" footer="0.31496062992125984"/>
  <pageSetup paperSize="9" scale="4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F55"/>
  <sheetViews>
    <sheetView showGridLines="0" topLeftCell="A8" zoomScaleNormal="100" workbookViewId="0">
      <selection activeCell="B32" sqref="B32:Q33"/>
    </sheetView>
  </sheetViews>
  <sheetFormatPr defaultRowHeight="12.75" x14ac:dyDescent="0.2"/>
  <cols>
    <col min="1" max="1" width="0.140625" style="39" customWidth="1"/>
    <col min="2" max="2" width="45.28515625" style="39" customWidth="1"/>
    <col min="3" max="7" width="12.7109375" style="39" customWidth="1"/>
    <col min="8" max="8" width="13.5703125" style="39" customWidth="1"/>
    <col min="9" max="11" width="12.7109375" style="39" customWidth="1"/>
    <col min="12" max="14" width="12.7109375" style="39" hidden="1" customWidth="1"/>
    <col min="15" max="17" width="12.7109375" style="39" customWidth="1"/>
    <col min="18" max="16384" width="9.140625" style="39"/>
  </cols>
  <sheetData>
    <row r="1" spans="1:17" ht="4.5" hidden="1" customHeight="1" x14ac:dyDescent="0.2">
      <c r="F1"/>
      <c r="G1"/>
      <c r="H1" s="663"/>
      <c r="I1" s="663"/>
      <c r="J1" s="664"/>
      <c r="K1" s="660"/>
    </row>
    <row r="2" spans="1:17" ht="23.25" x14ac:dyDescent="0.35">
      <c r="B2" s="203" t="s">
        <v>0</v>
      </c>
      <c r="C2" s="63"/>
      <c r="D2" s="63"/>
      <c r="E2" s="63"/>
      <c r="F2" s="220"/>
      <c r="G2"/>
      <c r="H2" s="663"/>
      <c r="I2" s="663"/>
      <c r="J2" s="665"/>
      <c r="K2" s="660"/>
      <c r="L2" s="63"/>
      <c r="M2" s="62"/>
      <c r="N2" s="61" t="s">
        <v>1</v>
      </c>
      <c r="O2" s="63"/>
      <c r="P2" s="62"/>
      <c r="Q2" s="61" t="s">
        <v>1</v>
      </c>
    </row>
    <row r="3" spans="1:17" ht="15" x14ac:dyDescent="0.2">
      <c r="B3" s="202" t="s">
        <v>68</v>
      </c>
      <c r="F3" s="220"/>
      <c r="G3"/>
      <c r="H3"/>
      <c r="I3" s="199"/>
      <c r="J3" s="199"/>
      <c r="K3" s="222"/>
      <c r="L3" s="631"/>
      <c r="M3" s="631"/>
      <c r="N3" s="631"/>
      <c r="O3" s="631"/>
      <c r="P3" s="631"/>
      <c r="Q3" s="631"/>
    </row>
    <row r="4" spans="1:17" ht="15" x14ac:dyDescent="0.2">
      <c r="B4" s="202" t="s">
        <v>436</v>
      </c>
      <c r="F4" s="220"/>
      <c r="G4"/>
      <c r="H4"/>
      <c r="I4" s="199"/>
      <c r="J4" s="199"/>
      <c r="K4" s="222"/>
      <c r="L4" s="631"/>
      <c r="M4" s="631"/>
      <c r="N4" s="631"/>
      <c r="O4" s="631"/>
      <c r="P4" s="631"/>
      <c r="Q4" s="631"/>
    </row>
    <row r="5" spans="1:17" ht="8.25" customHeight="1" x14ac:dyDescent="0.2">
      <c r="B5" s="202"/>
      <c r="F5" s="220"/>
      <c r="G5"/>
      <c r="H5"/>
      <c r="I5" s="199"/>
      <c r="J5" s="199"/>
      <c r="K5" s="222"/>
      <c r="L5" s="60"/>
      <c r="M5" s="60"/>
      <c r="N5" s="60"/>
      <c r="O5" s="466"/>
      <c r="P5" s="466"/>
      <c r="Q5" s="466"/>
    </row>
    <row r="6" spans="1:17" ht="13.5" thickBot="1" x14ac:dyDescent="0.25">
      <c r="F6" s="219"/>
      <c r="G6" s="219"/>
      <c r="H6" s="219"/>
      <c r="I6" s="221"/>
      <c r="J6" s="221"/>
      <c r="K6" s="223"/>
      <c r="N6" s="60" t="s">
        <v>5</v>
      </c>
      <c r="Q6" s="466" t="s">
        <v>5</v>
      </c>
    </row>
    <row r="7" spans="1:17" ht="26.1" customHeight="1" x14ac:dyDescent="0.2">
      <c r="A7" s="527"/>
      <c r="B7" s="502"/>
      <c r="C7" s="666" t="s">
        <v>548</v>
      </c>
      <c r="D7" s="667"/>
      <c r="E7" s="667"/>
      <c r="F7" s="666" t="s">
        <v>549</v>
      </c>
      <c r="G7" s="667"/>
      <c r="H7" s="667"/>
      <c r="I7" s="666" t="s">
        <v>558</v>
      </c>
      <c r="J7" s="667"/>
      <c r="K7" s="667"/>
      <c r="L7" s="666" t="s">
        <v>6</v>
      </c>
      <c r="M7" s="667"/>
      <c r="N7" s="668"/>
      <c r="O7" s="666" t="s">
        <v>633</v>
      </c>
      <c r="P7" s="667"/>
      <c r="Q7" s="668"/>
    </row>
    <row r="8" spans="1:17" x14ac:dyDescent="0.2">
      <c r="A8" s="527"/>
      <c r="B8" s="639" t="s">
        <v>66</v>
      </c>
      <c r="C8" s="641" t="s">
        <v>65</v>
      </c>
      <c r="D8" s="637" t="s">
        <v>10</v>
      </c>
      <c r="E8" s="652"/>
      <c r="F8" s="641" t="s">
        <v>65</v>
      </c>
      <c r="G8" s="637" t="s">
        <v>10</v>
      </c>
      <c r="H8" s="652"/>
      <c r="I8" s="641" t="s">
        <v>65</v>
      </c>
      <c r="J8" s="637" t="s">
        <v>10</v>
      </c>
      <c r="K8" s="652"/>
      <c r="L8" s="643" t="s">
        <v>65</v>
      </c>
      <c r="M8" s="637" t="s">
        <v>10</v>
      </c>
      <c r="N8" s="669"/>
      <c r="O8" s="643" t="s">
        <v>65</v>
      </c>
      <c r="P8" s="637" t="s">
        <v>10</v>
      </c>
      <c r="Q8" s="669"/>
    </row>
    <row r="9" spans="1:17" ht="39" thickBot="1" x14ac:dyDescent="0.25">
      <c r="A9" s="527"/>
      <c r="B9" s="640"/>
      <c r="C9" s="642"/>
      <c r="D9" s="503" t="s">
        <v>64</v>
      </c>
      <c r="E9" s="503" t="s">
        <v>63</v>
      </c>
      <c r="F9" s="642"/>
      <c r="G9" s="503" t="s">
        <v>64</v>
      </c>
      <c r="H9" s="503" t="s">
        <v>63</v>
      </c>
      <c r="I9" s="642"/>
      <c r="J9" s="503" t="s">
        <v>64</v>
      </c>
      <c r="K9" s="503" t="s">
        <v>63</v>
      </c>
      <c r="L9" s="644"/>
      <c r="M9" s="504" t="s">
        <v>64</v>
      </c>
      <c r="N9" s="505" t="s">
        <v>63</v>
      </c>
      <c r="O9" s="644"/>
      <c r="P9" s="504" t="s">
        <v>64</v>
      </c>
      <c r="Q9" s="505" t="s">
        <v>63</v>
      </c>
    </row>
    <row r="10" spans="1:17" ht="14.25" thickTop="1" thickBot="1" x14ac:dyDescent="0.25">
      <c r="A10" s="527"/>
      <c r="B10" s="473"/>
      <c r="C10" s="474" t="s">
        <v>62</v>
      </c>
      <c r="D10" s="475" t="s">
        <v>61</v>
      </c>
      <c r="E10" s="475" t="s">
        <v>60</v>
      </c>
      <c r="F10" s="474" t="s">
        <v>59</v>
      </c>
      <c r="G10" s="475" t="s">
        <v>58</v>
      </c>
      <c r="H10" s="475" t="s">
        <v>57</v>
      </c>
      <c r="I10" s="474" t="s">
        <v>56</v>
      </c>
      <c r="J10" s="475" t="s">
        <v>55</v>
      </c>
      <c r="K10" s="475" t="s">
        <v>54</v>
      </c>
      <c r="L10" s="474" t="s">
        <v>53</v>
      </c>
      <c r="M10" s="475" t="s">
        <v>52</v>
      </c>
      <c r="N10" s="506" t="s">
        <v>51</v>
      </c>
      <c r="O10" s="474" t="s">
        <v>634</v>
      </c>
      <c r="P10" s="475" t="s">
        <v>635</v>
      </c>
      <c r="Q10" s="506" t="s">
        <v>636</v>
      </c>
    </row>
    <row r="11" spans="1:17" ht="15.95" customHeight="1" x14ac:dyDescent="0.25">
      <c r="B11" s="80" t="s">
        <v>50</v>
      </c>
      <c r="C11" s="81">
        <f>D11+E11</f>
        <v>123877</v>
      </c>
      <c r="D11" s="82">
        <f>SUM(D13:D17)</f>
        <v>123877</v>
      </c>
      <c r="E11" s="82">
        <f>SUM(E13:E17)</f>
        <v>0</v>
      </c>
      <c r="F11" s="81">
        <f>G11+H11</f>
        <v>127111</v>
      </c>
      <c r="G11" s="82">
        <f>SUM(G13:G17)</f>
        <v>127111</v>
      </c>
      <c r="H11" s="82">
        <f>SUM(H13:H17)</f>
        <v>0</v>
      </c>
      <c r="I11" s="81">
        <f>J11+K11</f>
        <v>122085</v>
      </c>
      <c r="J11" s="82">
        <f>SUM(J13:J17)</f>
        <v>122085</v>
      </c>
      <c r="K11" s="82">
        <f>SUM(K13:K17)</f>
        <v>0</v>
      </c>
      <c r="L11" s="81">
        <f>M11+N11</f>
        <v>-1792</v>
      </c>
      <c r="M11" s="82">
        <f>SUM(M13:M17)</f>
        <v>-1792</v>
      </c>
      <c r="N11" s="83">
        <f>SUM(N13:N17)</f>
        <v>0</v>
      </c>
      <c r="O11" s="568">
        <f>IF(I11=0," ",(IF(C11=0," ",I11/C11*100)))</f>
        <v>98.553403779555524</v>
      </c>
      <c r="P11" s="552">
        <f t="shared" ref="P11:Q11" si="0">IF(J11=0," ",(IF(D11=0," ",J11/D11*100)))</f>
        <v>98.553403779555524</v>
      </c>
      <c r="Q11" s="588" t="str">
        <f t="shared" si="0"/>
        <v xml:space="preserve"> </v>
      </c>
    </row>
    <row r="12" spans="1:17" x14ac:dyDescent="0.2">
      <c r="B12" s="56" t="s">
        <v>49</v>
      </c>
      <c r="C12" s="45"/>
      <c r="D12" s="44"/>
      <c r="E12" s="44"/>
      <c r="F12" s="45"/>
      <c r="G12" s="44"/>
      <c r="H12" s="44"/>
      <c r="I12" s="45"/>
      <c r="J12" s="44"/>
      <c r="K12" s="44"/>
      <c r="L12" s="45"/>
      <c r="M12" s="44"/>
      <c r="N12" s="43"/>
      <c r="O12" s="589"/>
      <c r="P12" s="590"/>
      <c r="Q12" s="591"/>
    </row>
    <row r="13" spans="1:17" ht="15.95" customHeight="1" x14ac:dyDescent="0.2">
      <c r="B13" s="56" t="s">
        <v>586</v>
      </c>
      <c r="C13" s="54">
        <f>D13+E13</f>
        <v>47670</v>
      </c>
      <c r="D13" s="55">
        <f>'PO - kultura'!G21-'PO - kultura'!G13</f>
        <v>47670</v>
      </c>
      <c r="E13" s="55">
        <v>0</v>
      </c>
      <c r="F13" s="54">
        <f>G13+H13</f>
        <v>49036</v>
      </c>
      <c r="G13" s="55">
        <f>'PO - kultura'!N21-'PO - kultura'!N13</f>
        <v>49036</v>
      </c>
      <c r="H13" s="55">
        <v>0</v>
      </c>
      <c r="I13" s="54">
        <f>J13+K13</f>
        <v>43964</v>
      </c>
      <c r="J13" s="55">
        <f>'PO - kultura'!U21-'PO - kultura'!U13</f>
        <v>43964</v>
      </c>
      <c r="K13" s="55">
        <v>0</v>
      </c>
      <c r="L13" s="54">
        <f>M13+N13</f>
        <v>-3706</v>
      </c>
      <c r="M13" s="44">
        <f>J13-D13</f>
        <v>-3706</v>
      </c>
      <c r="N13" s="43">
        <f>K13-E13</f>
        <v>0</v>
      </c>
      <c r="O13" s="592">
        <f t="shared" ref="O13:O24" si="1">IF(I13=0," ",(IF(C13=0," ",I13/C13*100)))</f>
        <v>92.225718481225101</v>
      </c>
      <c r="P13" s="590">
        <f t="shared" ref="P13:P24" si="2">IF(J13=0," ",(IF(D13=0," ",J13/D13*100)))</f>
        <v>92.225718481225101</v>
      </c>
      <c r="Q13" s="591" t="str">
        <f t="shared" ref="Q13:Q24" si="3">IF(K13=0," ",(IF(E13=0," ",K13/E13*100)))</f>
        <v xml:space="preserve"> </v>
      </c>
    </row>
    <row r="14" spans="1:17" ht="15.95" customHeight="1" x14ac:dyDescent="0.2">
      <c r="B14" s="56" t="s">
        <v>47</v>
      </c>
      <c r="C14" s="54">
        <f t="shared" ref="C14:C19" si="4">D14+E14</f>
        <v>62866</v>
      </c>
      <c r="D14" s="55">
        <f>'PO - kultura'!H21-'PO - kultura'!H13</f>
        <v>62866</v>
      </c>
      <c r="E14" s="55">
        <v>0</v>
      </c>
      <c r="F14" s="54">
        <f t="shared" ref="F14:F19" si="5">G14+H14</f>
        <v>63171</v>
      </c>
      <c r="G14" s="55">
        <f>'PO - kultura'!O21-'PO - kultura'!O13</f>
        <v>63171</v>
      </c>
      <c r="H14" s="55">
        <v>0</v>
      </c>
      <c r="I14" s="54">
        <f t="shared" ref="I14:I19" si="6">J14+K14</f>
        <v>63584</v>
      </c>
      <c r="J14" s="55">
        <f>'PO - kultura'!V21-'PO - kultura'!V13</f>
        <v>63584</v>
      </c>
      <c r="K14" s="55">
        <v>0</v>
      </c>
      <c r="L14" s="54">
        <f t="shared" ref="L14:L19" si="7">M14+N14</f>
        <v>718</v>
      </c>
      <c r="M14" s="44">
        <f t="shared" ref="M14:M19" si="8">J14-D14</f>
        <v>718</v>
      </c>
      <c r="N14" s="43">
        <f t="shared" ref="N14:N19" si="9">K14-E14</f>
        <v>0</v>
      </c>
      <c r="O14" s="592">
        <f t="shared" si="1"/>
        <v>101.1421117933382</v>
      </c>
      <c r="P14" s="590">
        <f t="shared" si="2"/>
        <v>101.1421117933382</v>
      </c>
      <c r="Q14" s="591" t="str">
        <f t="shared" si="3"/>
        <v xml:space="preserve"> </v>
      </c>
    </row>
    <row r="15" spans="1:17" ht="15.95" customHeight="1" x14ac:dyDescent="0.2">
      <c r="B15" s="56" t="s">
        <v>46</v>
      </c>
      <c r="C15" s="54">
        <f t="shared" si="4"/>
        <v>300</v>
      </c>
      <c r="D15" s="55">
        <f>'PO - kultura'!K21-'PO - kultura'!K13</f>
        <v>300</v>
      </c>
      <c r="E15" s="55">
        <v>0</v>
      </c>
      <c r="F15" s="54">
        <f t="shared" si="5"/>
        <v>1050</v>
      </c>
      <c r="G15" s="55">
        <f>'PO - kultura'!R21-'PO - kultura'!R13</f>
        <v>1050</v>
      </c>
      <c r="H15" s="55">
        <v>0</v>
      </c>
      <c r="I15" s="54">
        <f t="shared" si="6"/>
        <v>0</v>
      </c>
      <c r="J15" s="55">
        <f>'PO - kultura'!Y21-'PO - kultura'!Y13</f>
        <v>0</v>
      </c>
      <c r="K15" s="55">
        <v>0</v>
      </c>
      <c r="L15" s="54">
        <f t="shared" si="7"/>
        <v>-300</v>
      </c>
      <c r="M15" s="44">
        <f t="shared" si="8"/>
        <v>-300</v>
      </c>
      <c r="N15" s="43">
        <f t="shared" si="9"/>
        <v>0</v>
      </c>
      <c r="O15" s="592" t="str">
        <f t="shared" si="1"/>
        <v xml:space="preserve"> </v>
      </c>
      <c r="P15" s="590" t="str">
        <f t="shared" si="2"/>
        <v xml:space="preserve"> </v>
      </c>
      <c r="Q15" s="591" t="str">
        <f t="shared" si="3"/>
        <v xml:space="preserve"> </v>
      </c>
    </row>
    <row r="16" spans="1:17" ht="15.95" customHeight="1" x14ac:dyDescent="0.2">
      <c r="B16" s="56" t="s">
        <v>45</v>
      </c>
      <c r="C16" s="54">
        <f t="shared" si="4"/>
        <v>13041</v>
      </c>
      <c r="D16" s="55">
        <f>'PO - kultura'!J21</f>
        <v>13041</v>
      </c>
      <c r="E16" s="55">
        <v>0</v>
      </c>
      <c r="F16" s="54">
        <f t="shared" si="5"/>
        <v>13683</v>
      </c>
      <c r="G16" s="55">
        <f>'PO - kultura'!Q21-'PO - kultura'!Q13</f>
        <v>13683</v>
      </c>
      <c r="H16" s="55">
        <v>0</v>
      </c>
      <c r="I16" s="54">
        <f t="shared" si="6"/>
        <v>14537</v>
      </c>
      <c r="J16" s="55">
        <f>'PO - kultura'!X21-'PO - kultura'!X13</f>
        <v>14537</v>
      </c>
      <c r="K16" s="55">
        <v>0</v>
      </c>
      <c r="L16" s="54">
        <f t="shared" si="7"/>
        <v>1496</v>
      </c>
      <c r="M16" s="44">
        <f t="shared" si="8"/>
        <v>1496</v>
      </c>
      <c r="N16" s="43">
        <f t="shared" si="9"/>
        <v>0</v>
      </c>
      <c r="O16" s="592">
        <f t="shared" si="1"/>
        <v>111.47151292078827</v>
      </c>
      <c r="P16" s="590">
        <f t="shared" si="2"/>
        <v>111.47151292078827</v>
      </c>
      <c r="Q16" s="591" t="str">
        <f t="shared" si="3"/>
        <v xml:space="preserve"> </v>
      </c>
    </row>
    <row r="17" spans="1:32" s="77" customFormat="1" ht="15.95" customHeight="1" x14ac:dyDescent="0.2">
      <c r="B17" s="74" t="s">
        <v>75</v>
      </c>
      <c r="C17" s="75">
        <f t="shared" si="4"/>
        <v>0</v>
      </c>
      <c r="D17" s="76">
        <f>'PO - kultura'!L21-'PO - kultura'!L13</f>
        <v>0</v>
      </c>
      <c r="E17" s="76">
        <v>0</v>
      </c>
      <c r="F17" s="75">
        <f t="shared" si="5"/>
        <v>171</v>
      </c>
      <c r="G17" s="76">
        <f>'PO - kultura'!S21-'PO - kultura'!S13</f>
        <v>171</v>
      </c>
      <c r="H17" s="76">
        <v>0</v>
      </c>
      <c r="I17" s="75">
        <f t="shared" si="6"/>
        <v>0</v>
      </c>
      <c r="J17" s="76">
        <f>'PO - kultura'!Z21-'PO - kultura'!Z13</f>
        <v>0</v>
      </c>
      <c r="K17" s="76">
        <v>0</v>
      </c>
      <c r="L17" s="75">
        <f t="shared" si="7"/>
        <v>0</v>
      </c>
      <c r="M17" s="44">
        <f t="shared" si="8"/>
        <v>0</v>
      </c>
      <c r="N17" s="43">
        <f t="shared" si="9"/>
        <v>0</v>
      </c>
      <c r="O17" s="593" t="str">
        <f t="shared" si="1"/>
        <v xml:space="preserve"> </v>
      </c>
      <c r="P17" s="590" t="str">
        <f t="shared" si="2"/>
        <v xml:space="preserve"> </v>
      </c>
      <c r="Q17" s="591" t="str">
        <f t="shared" si="3"/>
        <v xml:space="preserve"> </v>
      </c>
    </row>
    <row r="18" spans="1:32" s="84" customFormat="1" ht="15.95" customHeight="1" x14ac:dyDescent="0.25">
      <c r="B18" s="85" t="s">
        <v>44</v>
      </c>
      <c r="C18" s="86">
        <f t="shared" si="4"/>
        <v>300</v>
      </c>
      <c r="D18" s="87">
        <f>'PO - kultura'!G13</f>
        <v>300</v>
      </c>
      <c r="E18" s="87">
        <v>0</v>
      </c>
      <c r="F18" s="86">
        <f t="shared" si="5"/>
        <v>0</v>
      </c>
      <c r="G18" s="87">
        <f>'PO - kultura'!N13</f>
        <v>0</v>
      </c>
      <c r="H18" s="87">
        <v>0</v>
      </c>
      <c r="I18" s="86">
        <f t="shared" si="6"/>
        <v>0</v>
      </c>
      <c r="J18" s="87">
        <f>'PO - kultura'!U13</f>
        <v>0</v>
      </c>
      <c r="K18" s="87">
        <v>0</v>
      </c>
      <c r="L18" s="86">
        <f t="shared" si="7"/>
        <v>-300</v>
      </c>
      <c r="M18" s="87">
        <f t="shared" si="8"/>
        <v>-300</v>
      </c>
      <c r="N18" s="88">
        <f t="shared" si="9"/>
        <v>0</v>
      </c>
      <c r="O18" s="594" t="str">
        <f t="shared" si="1"/>
        <v xml:space="preserve"> </v>
      </c>
      <c r="P18" s="595" t="str">
        <f t="shared" si="2"/>
        <v xml:space="preserve"> </v>
      </c>
      <c r="Q18" s="596" t="str">
        <f t="shared" si="3"/>
        <v xml:space="preserve"> </v>
      </c>
    </row>
    <row r="19" spans="1:32" s="84" customFormat="1" ht="15.95" customHeight="1" x14ac:dyDescent="0.25">
      <c r="B19" s="85" t="s">
        <v>43</v>
      </c>
      <c r="C19" s="86">
        <f t="shared" si="4"/>
        <v>300</v>
      </c>
      <c r="D19" s="87">
        <f>'PO - kultura'!L13</f>
        <v>300</v>
      </c>
      <c r="E19" s="87">
        <v>0</v>
      </c>
      <c r="F19" s="86">
        <f t="shared" si="5"/>
        <v>0</v>
      </c>
      <c r="G19" s="87">
        <f>'PO - kultura'!S13</f>
        <v>0</v>
      </c>
      <c r="H19" s="87">
        <v>0</v>
      </c>
      <c r="I19" s="86">
        <f t="shared" si="6"/>
        <v>285</v>
      </c>
      <c r="J19" s="87">
        <f>'PO - kultura'!Z13</f>
        <v>285</v>
      </c>
      <c r="K19" s="87">
        <v>0</v>
      </c>
      <c r="L19" s="86">
        <f t="shared" si="7"/>
        <v>-15</v>
      </c>
      <c r="M19" s="87">
        <f t="shared" si="8"/>
        <v>-15</v>
      </c>
      <c r="N19" s="88">
        <f t="shared" si="9"/>
        <v>0</v>
      </c>
      <c r="O19" s="594">
        <f t="shared" si="1"/>
        <v>95</v>
      </c>
      <c r="P19" s="595">
        <f t="shared" si="2"/>
        <v>95</v>
      </c>
      <c r="Q19" s="596" t="str">
        <f t="shared" si="3"/>
        <v xml:space="preserve"> </v>
      </c>
    </row>
    <row r="20" spans="1:32" ht="15.95" customHeight="1" thickBot="1" x14ac:dyDescent="0.3">
      <c r="B20" s="53" t="s">
        <v>41</v>
      </c>
      <c r="C20" s="52">
        <f t="shared" ref="C20:N20" si="10">SUM(C11+C18+C19)</f>
        <v>124477</v>
      </c>
      <c r="D20" s="66">
        <f t="shared" si="10"/>
        <v>124477</v>
      </c>
      <c r="E20" s="65">
        <f t="shared" si="10"/>
        <v>0</v>
      </c>
      <c r="F20" s="52">
        <f t="shared" si="10"/>
        <v>127111</v>
      </c>
      <c r="G20" s="66">
        <f t="shared" si="10"/>
        <v>127111</v>
      </c>
      <c r="H20" s="65">
        <f t="shared" si="10"/>
        <v>0</v>
      </c>
      <c r="I20" s="52">
        <f t="shared" si="10"/>
        <v>122370</v>
      </c>
      <c r="J20" s="66">
        <f t="shared" si="10"/>
        <v>122370</v>
      </c>
      <c r="K20" s="65">
        <f t="shared" si="10"/>
        <v>0</v>
      </c>
      <c r="L20" s="52">
        <f t="shared" si="10"/>
        <v>-2107</v>
      </c>
      <c r="M20" s="66">
        <f t="shared" si="10"/>
        <v>-2107</v>
      </c>
      <c r="N20" s="78">
        <f t="shared" si="10"/>
        <v>0</v>
      </c>
      <c r="O20" s="553">
        <f t="shared" si="1"/>
        <v>98.307317817749464</v>
      </c>
      <c r="P20" s="597">
        <f t="shared" si="2"/>
        <v>98.307317817749464</v>
      </c>
      <c r="Q20" s="598" t="str">
        <f t="shared" si="3"/>
        <v xml:space="preserve"> </v>
      </c>
    </row>
    <row r="21" spans="1:32" x14ac:dyDescent="0.2">
      <c r="B21" s="46"/>
      <c r="C21" s="45"/>
      <c r="D21" s="44"/>
      <c r="E21" s="44"/>
      <c r="F21" s="45"/>
      <c r="G21" s="44"/>
      <c r="H21" s="44"/>
      <c r="I21" s="45"/>
      <c r="J21" s="44"/>
      <c r="K21" s="44"/>
      <c r="L21" s="45"/>
      <c r="M21" s="44"/>
      <c r="N21" s="43"/>
      <c r="O21" s="589" t="str">
        <f t="shared" si="1"/>
        <v xml:space="preserve"> </v>
      </c>
      <c r="P21" s="590" t="str">
        <f t="shared" si="2"/>
        <v xml:space="preserve"> </v>
      </c>
      <c r="Q21" s="591" t="str">
        <f t="shared" si="3"/>
        <v xml:space="preserve"> </v>
      </c>
    </row>
    <row r="22" spans="1:32" ht="15.95" customHeight="1" x14ac:dyDescent="0.25">
      <c r="B22" s="51" t="s">
        <v>42</v>
      </c>
      <c r="C22" s="49">
        <f>D22+E22</f>
        <v>1602</v>
      </c>
      <c r="D22" s="50">
        <f>'PO - kultura'!I21</f>
        <v>1602</v>
      </c>
      <c r="E22" s="50">
        <v>0</v>
      </c>
      <c r="F22" s="49">
        <f>G22+H22</f>
        <v>1602</v>
      </c>
      <c r="G22" s="50">
        <f>'PO - kultura'!P21</f>
        <v>1602</v>
      </c>
      <c r="H22" s="50">
        <v>0</v>
      </c>
      <c r="I22" s="49">
        <f>J22+K22</f>
        <v>1596</v>
      </c>
      <c r="J22" s="50">
        <f>'PO - kultura'!W21</f>
        <v>1596</v>
      </c>
      <c r="K22" s="50">
        <v>0</v>
      </c>
      <c r="L22" s="49">
        <f>M22+N22</f>
        <v>-6</v>
      </c>
      <c r="M22" s="48">
        <f>J22-D22</f>
        <v>-6</v>
      </c>
      <c r="N22" s="47">
        <f>K22-E22</f>
        <v>0</v>
      </c>
      <c r="O22" s="569">
        <f t="shared" si="1"/>
        <v>99.625468164794</v>
      </c>
      <c r="P22" s="599">
        <f t="shared" si="2"/>
        <v>99.625468164794</v>
      </c>
      <c r="Q22" s="600" t="str">
        <f t="shared" si="3"/>
        <v xml:space="preserve"> </v>
      </c>
    </row>
    <row r="23" spans="1:32" ht="13.5" thickBot="1" x14ac:dyDescent="0.25">
      <c r="B23" s="46"/>
      <c r="C23" s="45"/>
      <c r="D23" s="44"/>
      <c r="E23" s="44"/>
      <c r="F23" s="45"/>
      <c r="G23" s="44"/>
      <c r="H23" s="44"/>
      <c r="I23" s="45"/>
      <c r="J23" s="44"/>
      <c r="K23" s="44"/>
      <c r="L23" s="45"/>
      <c r="M23" s="44"/>
      <c r="N23" s="43"/>
      <c r="O23" s="589" t="str">
        <f t="shared" si="1"/>
        <v xml:space="preserve"> </v>
      </c>
      <c r="P23" s="590" t="str">
        <f t="shared" si="2"/>
        <v xml:space="preserve"> </v>
      </c>
      <c r="Q23" s="591" t="str">
        <f t="shared" si="3"/>
        <v xml:space="preserve"> </v>
      </c>
    </row>
    <row r="24" spans="1:32" ht="15.95" customHeight="1" thickBot="1" x14ac:dyDescent="0.3">
      <c r="B24" s="42" t="s">
        <v>41</v>
      </c>
      <c r="C24" s="40">
        <f t="shared" ref="C24:J24" si="11">C22+C20</f>
        <v>126079</v>
      </c>
      <c r="D24" s="41">
        <f t="shared" si="11"/>
        <v>126079</v>
      </c>
      <c r="E24" s="41">
        <f t="shared" si="11"/>
        <v>0</v>
      </c>
      <c r="F24" s="40">
        <f t="shared" si="11"/>
        <v>128713</v>
      </c>
      <c r="G24" s="41">
        <f t="shared" si="11"/>
        <v>128713</v>
      </c>
      <c r="H24" s="41">
        <f t="shared" si="11"/>
        <v>0</v>
      </c>
      <c r="I24" s="40">
        <f>I22+I20</f>
        <v>123966</v>
      </c>
      <c r="J24" s="41">
        <f t="shared" si="11"/>
        <v>123966</v>
      </c>
      <c r="K24" s="41">
        <f>K22+K20</f>
        <v>0</v>
      </c>
      <c r="L24" s="40">
        <f>L22+L20</f>
        <v>-2113</v>
      </c>
      <c r="M24" s="41">
        <f>M22+M20</f>
        <v>-2113</v>
      </c>
      <c r="N24" s="79">
        <f>N22+N20</f>
        <v>0</v>
      </c>
      <c r="O24" s="601">
        <f t="shared" si="1"/>
        <v>98.324066656620062</v>
      </c>
      <c r="P24" s="602">
        <f t="shared" si="2"/>
        <v>98.324066656620062</v>
      </c>
      <c r="Q24" s="603" t="str">
        <f t="shared" si="3"/>
        <v xml:space="preserve"> </v>
      </c>
    </row>
    <row r="25" spans="1:32" s="419" customFormat="1" ht="19.5" hidden="1" customHeight="1" x14ac:dyDescent="0.25">
      <c r="B25" s="420"/>
      <c r="C25" s="451"/>
      <c r="D25" s="452"/>
      <c r="E25" s="451" t="s">
        <v>603</v>
      </c>
      <c r="F25" s="451"/>
      <c r="G25" s="452"/>
      <c r="H25" s="452"/>
      <c r="I25" s="451">
        <v>124856</v>
      </c>
      <c r="J25" s="422"/>
      <c r="K25" s="422"/>
      <c r="L25" s="421"/>
      <c r="M25" s="422"/>
      <c r="N25" s="422"/>
      <c r="O25" s="421"/>
      <c r="P25" s="422"/>
      <c r="Q25" s="422"/>
    </row>
    <row r="26" spans="1:32" s="419" customFormat="1" ht="18" hidden="1" customHeight="1" thickBot="1" x14ac:dyDescent="0.3">
      <c r="B26" s="420"/>
      <c r="C26" s="453"/>
      <c r="D26" s="454"/>
      <c r="E26" s="453"/>
      <c r="F26" s="453" t="s">
        <v>604</v>
      </c>
      <c r="G26" s="454"/>
      <c r="H26" s="454"/>
      <c r="I26" s="453">
        <f>-I25+I24</f>
        <v>-890</v>
      </c>
      <c r="J26" s="422"/>
      <c r="K26" s="422"/>
      <c r="L26" s="421"/>
      <c r="M26" s="422"/>
      <c r="N26" s="422"/>
      <c r="O26" s="421"/>
      <c r="P26" s="422"/>
      <c r="Q26" s="422"/>
    </row>
    <row r="27" spans="1:32" s="419" customFormat="1" ht="10.5" hidden="1" customHeight="1" thickTop="1" x14ac:dyDescent="0.25">
      <c r="B27" s="420"/>
      <c r="C27" s="421"/>
      <c r="D27" s="422"/>
      <c r="E27" s="422"/>
      <c r="F27" s="421"/>
      <c r="G27" s="422"/>
      <c r="H27" s="422"/>
      <c r="I27" s="421"/>
      <c r="J27" s="422"/>
      <c r="K27" s="422"/>
      <c r="L27" s="421"/>
      <c r="M27" s="422"/>
      <c r="N27" s="422"/>
      <c r="O27" s="421"/>
      <c r="P27" s="422"/>
      <c r="Q27" s="422"/>
    </row>
    <row r="28" spans="1:32" customFormat="1" ht="15" hidden="1" customHeight="1" x14ac:dyDescent="0.2">
      <c r="B28" s="418" t="s">
        <v>595</v>
      </c>
    </row>
    <row r="29" spans="1:32" customFormat="1" ht="15" customHeight="1" x14ac:dyDescent="0.25">
      <c r="A29" s="154" t="s">
        <v>184</v>
      </c>
      <c r="B29" s="154"/>
      <c r="C29" s="155"/>
      <c r="D29" s="156"/>
      <c r="E29" s="156"/>
      <c r="F29" s="156"/>
      <c r="G29" s="181"/>
      <c r="H29" s="181"/>
      <c r="I29" s="181"/>
      <c r="J29" s="181"/>
      <c r="K29" s="156"/>
      <c r="L29" s="156"/>
      <c r="M29" s="156"/>
      <c r="N29" s="156"/>
      <c r="O29" s="156"/>
      <c r="P29" s="156"/>
      <c r="Q29" s="156"/>
      <c r="R29" s="156"/>
      <c r="S29" s="156"/>
      <c r="T29" s="156"/>
      <c r="U29" s="156"/>
      <c r="V29" s="156"/>
      <c r="W29" s="156"/>
      <c r="X29" s="156"/>
      <c r="Y29" s="156"/>
      <c r="Z29" s="156"/>
      <c r="AA29" s="156"/>
      <c r="AB29" s="156"/>
      <c r="AC29" s="156"/>
      <c r="AD29" s="156"/>
      <c r="AE29" s="156"/>
      <c r="AF29" s="156"/>
    </row>
    <row r="30" spans="1:32" customFormat="1" ht="6" customHeight="1" x14ac:dyDescent="0.25">
      <c r="A30" s="154"/>
      <c r="B30" s="154"/>
      <c r="C30" s="155"/>
      <c r="D30" s="156"/>
      <c r="E30" s="156"/>
      <c r="F30" s="156"/>
      <c r="G30" s="181"/>
      <c r="H30" s="181"/>
      <c r="I30" s="181"/>
      <c r="J30" s="181"/>
      <c r="K30" s="156"/>
      <c r="L30" s="156"/>
      <c r="M30" s="156"/>
      <c r="N30" s="156"/>
      <c r="O30" s="156"/>
      <c r="P30" s="156"/>
      <c r="Q30" s="156"/>
      <c r="R30" s="156"/>
      <c r="S30" s="156"/>
      <c r="T30" s="156"/>
      <c r="U30" s="156"/>
      <c r="V30" s="156"/>
      <c r="W30" s="156"/>
      <c r="X30" s="156"/>
      <c r="Y30" s="156"/>
      <c r="Z30" s="156"/>
      <c r="AA30" s="156"/>
      <c r="AB30" s="156"/>
      <c r="AC30" s="156"/>
      <c r="AD30" s="156"/>
      <c r="AE30" s="156"/>
      <c r="AF30" s="156"/>
    </row>
    <row r="31" spans="1:32" customFormat="1" ht="14.25" customHeight="1" x14ac:dyDescent="0.25">
      <c r="A31" s="154" t="s">
        <v>185</v>
      </c>
      <c r="B31" s="154" t="s">
        <v>12</v>
      </c>
      <c r="C31" s="157"/>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row>
    <row r="32" spans="1:32" customFormat="1" ht="16.5" customHeight="1" x14ac:dyDescent="0.2">
      <c r="A32" s="158"/>
      <c r="B32" s="758" t="s">
        <v>627</v>
      </c>
      <c r="C32" s="759"/>
      <c r="D32" s="759"/>
      <c r="E32" s="759"/>
      <c r="F32" s="759"/>
      <c r="G32" s="759"/>
      <c r="H32" s="759"/>
      <c r="I32" s="759"/>
      <c r="J32" s="759"/>
      <c r="K32" s="759"/>
      <c r="L32" s="759"/>
      <c r="M32" s="759"/>
      <c r="N32" s="759"/>
      <c r="O32" s="724"/>
      <c r="P32" s="724"/>
      <c r="Q32" s="724"/>
      <c r="R32" s="156"/>
      <c r="S32" s="156"/>
      <c r="T32" s="156"/>
      <c r="U32" s="156"/>
      <c r="V32" s="156"/>
      <c r="W32" s="156"/>
      <c r="X32" s="156"/>
      <c r="Y32" s="156"/>
      <c r="Z32" s="156"/>
      <c r="AA32" s="156"/>
      <c r="AB32" s="156"/>
      <c r="AC32" s="156"/>
      <c r="AD32" s="156"/>
      <c r="AE32" s="156"/>
      <c r="AF32" s="156"/>
    </row>
    <row r="33" spans="1:32" customFormat="1" ht="17.25" customHeight="1" x14ac:dyDescent="0.2">
      <c r="A33" s="159"/>
      <c r="B33" s="759"/>
      <c r="C33" s="759"/>
      <c r="D33" s="759"/>
      <c r="E33" s="759"/>
      <c r="F33" s="759"/>
      <c r="G33" s="759"/>
      <c r="H33" s="759"/>
      <c r="I33" s="759"/>
      <c r="J33" s="759"/>
      <c r="K33" s="759"/>
      <c r="L33" s="759"/>
      <c r="M33" s="759"/>
      <c r="N33" s="759"/>
      <c r="O33" s="724"/>
      <c r="P33" s="724"/>
      <c r="Q33" s="724"/>
      <c r="R33" s="156"/>
      <c r="S33" s="156"/>
      <c r="T33" s="156"/>
      <c r="U33" s="156"/>
      <c r="V33" s="156"/>
      <c r="W33" s="156"/>
      <c r="X33" s="156"/>
      <c r="Y33" s="156"/>
      <c r="Z33" s="156"/>
      <c r="AA33" s="156"/>
      <c r="AB33" s="156"/>
      <c r="AC33" s="156"/>
      <c r="AD33" s="156"/>
      <c r="AE33" s="156"/>
      <c r="AF33" s="156"/>
    </row>
    <row r="34" spans="1:32" customFormat="1" ht="15.75" x14ac:dyDescent="0.25">
      <c r="A34" s="154" t="s">
        <v>186</v>
      </c>
      <c r="B34" s="195" t="s">
        <v>439</v>
      </c>
      <c r="C34" s="157"/>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row>
    <row r="35" spans="1:32" customFormat="1" ht="44.25" customHeight="1" x14ac:dyDescent="0.2">
      <c r="A35" s="158"/>
      <c r="B35" s="758" t="s">
        <v>628</v>
      </c>
      <c r="C35" s="759"/>
      <c r="D35" s="759"/>
      <c r="E35" s="759"/>
      <c r="F35" s="759"/>
      <c r="G35" s="759"/>
      <c r="H35" s="759"/>
      <c r="I35" s="759"/>
      <c r="J35" s="759"/>
      <c r="K35" s="759"/>
      <c r="L35" s="759"/>
      <c r="M35" s="759"/>
      <c r="N35" s="759"/>
      <c r="O35" s="724"/>
      <c r="P35" s="724"/>
      <c r="Q35" s="724"/>
      <c r="R35" s="156"/>
      <c r="S35" s="156"/>
      <c r="T35" s="156"/>
      <c r="U35" s="156"/>
      <c r="V35" s="156"/>
      <c r="W35" s="156"/>
      <c r="X35" s="156"/>
      <c r="Y35" s="156"/>
      <c r="Z35" s="156"/>
      <c r="AA35" s="156"/>
      <c r="AB35" s="156"/>
      <c r="AC35" s="156"/>
      <c r="AD35" s="156"/>
      <c r="AE35" s="156"/>
      <c r="AF35" s="156"/>
    </row>
    <row r="36" spans="1:32" customFormat="1" ht="18" customHeight="1" x14ac:dyDescent="0.2">
      <c r="A36" s="158"/>
      <c r="B36" s="757"/>
      <c r="C36" s="757"/>
      <c r="D36" s="757"/>
      <c r="E36" s="757"/>
      <c r="F36" s="757"/>
      <c r="G36" s="757"/>
      <c r="H36" s="757"/>
      <c r="I36" s="757"/>
      <c r="J36" s="757"/>
      <c r="K36" s="757"/>
      <c r="L36" s="757"/>
      <c r="M36" s="757"/>
      <c r="N36" s="757"/>
      <c r="O36" s="468"/>
      <c r="P36" s="468"/>
      <c r="Q36" s="158"/>
      <c r="R36" s="156"/>
      <c r="S36" s="156"/>
      <c r="T36" s="156"/>
      <c r="U36" s="156"/>
      <c r="V36" s="156"/>
      <c r="W36" s="156"/>
      <c r="X36" s="156"/>
      <c r="Y36" s="156"/>
      <c r="Z36" s="156"/>
      <c r="AA36" s="156"/>
      <c r="AB36" s="156"/>
      <c r="AC36" s="156"/>
      <c r="AD36" s="156"/>
      <c r="AE36" s="156"/>
      <c r="AF36" s="156"/>
    </row>
    <row r="37" spans="1:32" customFormat="1" ht="17.25" customHeight="1" x14ac:dyDescent="0.25">
      <c r="A37" s="154" t="s">
        <v>187</v>
      </c>
      <c r="B37" s="154" t="s">
        <v>197</v>
      </c>
      <c r="C37" s="160"/>
      <c r="D37" s="160"/>
      <c r="E37" s="160"/>
      <c r="F37" s="160"/>
      <c r="G37" s="160"/>
      <c r="H37" s="160"/>
      <c r="I37" s="160"/>
      <c r="J37" s="160"/>
      <c r="K37" s="160"/>
      <c r="L37" s="160"/>
      <c r="M37" s="160"/>
      <c r="N37" s="160"/>
      <c r="O37" s="160"/>
      <c r="P37" s="160"/>
      <c r="Q37" s="160"/>
      <c r="R37" s="156"/>
      <c r="S37" s="156"/>
      <c r="T37" s="156"/>
      <c r="U37" s="156"/>
      <c r="V37" s="156"/>
      <c r="W37" s="156"/>
      <c r="X37" s="156"/>
      <c r="Y37" s="156"/>
      <c r="Z37" s="156"/>
      <c r="AA37" s="156"/>
      <c r="AB37" s="156"/>
      <c r="AC37" s="156"/>
      <c r="AD37" s="156"/>
      <c r="AE37" s="156"/>
      <c r="AF37" s="156"/>
    </row>
    <row r="38" spans="1:32" customFormat="1" ht="17.25" hidden="1" customHeight="1" x14ac:dyDescent="0.25">
      <c r="A38" s="154"/>
      <c r="B38" s="756"/>
      <c r="C38" s="675"/>
      <c r="D38" s="675"/>
      <c r="E38" s="675"/>
      <c r="F38" s="675"/>
      <c r="G38" s="675"/>
      <c r="H38" s="675"/>
      <c r="I38" s="675"/>
      <c r="J38" s="675"/>
      <c r="K38" s="675"/>
      <c r="L38" s="675"/>
      <c r="M38" s="675"/>
      <c r="N38" s="675"/>
      <c r="O38" s="160"/>
      <c r="P38" s="160"/>
      <c r="Q38" s="160"/>
      <c r="R38" s="156"/>
      <c r="S38" s="156"/>
      <c r="T38" s="156"/>
      <c r="U38" s="156"/>
      <c r="V38" s="156"/>
      <c r="W38" s="156"/>
      <c r="X38" s="156"/>
      <c r="Y38" s="156"/>
      <c r="Z38" s="156"/>
      <c r="AA38" s="156"/>
      <c r="AB38" s="156"/>
      <c r="AC38" s="156"/>
      <c r="AD38" s="156"/>
      <c r="AE38" s="156"/>
      <c r="AF38" s="156"/>
    </row>
    <row r="39" spans="1:32" customFormat="1" ht="18" hidden="1" customHeight="1" x14ac:dyDescent="0.25">
      <c r="A39" s="154"/>
      <c r="B39" s="675"/>
      <c r="C39" s="675"/>
      <c r="D39" s="675"/>
      <c r="E39" s="675"/>
      <c r="F39" s="675"/>
      <c r="G39" s="675"/>
      <c r="H39" s="675"/>
      <c r="I39" s="675"/>
      <c r="J39" s="675"/>
      <c r="K39" s="675"/>
      <c r="L39" s="675"/>
      <c r="M39" s="675"/>
      <c r="N39" s="675"/>
      <c r="O39" s="160"/>
      <c r="P39" s="160"/>
      <c r="Q39" s="160"/>
      <c r="R39" s="156"/>
      <c r="S39" s="156"/>
      <c r="T39" s="156"/>
      <c r="U39" s="156"/>
      <c r="V39" s="156"/>
      <c r="W39" s="156"/>
      <c r="X39" s="156"/>
      <c r="Y39" s="156"/>
      <c r="Z39" s="156"/>
      <c r="AA39" s="156"/>
      <c r="AB39" s="156"/>
      <c r="AC39" s="156"/>
      <c r="AD39" s="156"/>
      <c r="AE39" s="156"/>
      <c r="AF39" s="156"/>
    </row>
    <row r="40" spans="1:32" customFormat="1" ht="16.5" customHeight="1" x14ac:dyDescent="0.2">
      <c r="A40" s="156"/>
      <c r="B40" s="754" t="s">
        <v>550</v>
      </c>
      <c r="C40" s="702"/>
      <c r="D40" s="702"/>
      <c r="E40" s="702"/>
      <c r="F40" s="702"/>
      <c r="G40" s="702"/>
      <c r="H40" s="702"/>
      <c r="I40" s="702"/>
      <c r="J40" s="702"/>
      <c r="K40" s="702"/>
      <c r="L40" s="702"/>
      <c r="M40" s="702"/>
      <c r="N40" s="702"/>
      <c r="O40" s="675"/>
      <c r="P40" s="675"/>
      <c r="Q40" s="675"/>
      <c r="R40" s="156"/>
      <c r="S40" s="156"/>
      <c r="T40" s="156"/>
      <c r="U40" s="156"/>
      <c r="V40" s="156"/>
      <c r="W40" s="156"/>
      <c r="X40" s="156"/>
      <c r="Y40" s="156"/>
      <c r="Z40" s="156"/>
      <c r="AA40" s="156"/>
      <c r="AB40" s="156"/>
      <c r="AC40" s="156"/>
      <c r="AD40" s="156"/>
      <c r="AE40" s="156"/>
      <c r="AF40" s="156"/>
    </row>
    <row r="41" spans="1:32" customFormat="1" ht="12" customHeight="1" x14ac:dyDescent="0.2">
      <c r="A41" s="156"/>
      <c r="B41" s="702"/>
      <c r="C41" s="702"/>
      <c r="D41" s="702"/>
      <c r="E41" s="702"/>
      <c r="F41" s="702"/>
      <c r="G41" s="702"/>
      <c r="H41" s="702"/>
      <c r="I41" s="702"/>
      <c r="J41" s="702"/>
      <c r="K41" s="702"/>
      <c r="L41" s="702"/>
      <c r="M41" s="702"/>
      <c r="N41" s="702"/>
      <c r="O41" s="675"/>
      <c r="P41" s="675"/>
      <c r="Q41" s="675"/>
      <c r="R41" s="156"/>
      <c r="S41" s="156"/>
      <c r="T41" s="156"/>
      <c r="U41" s="156"/>
      <c r="V41" s="156"/>
      <c r="W41" s="156"/>
      <c r="X41" s="156"/>
      <c r="Y41" s="156"/>
      <c r="Z41" s="156"/>
      <c r="AA41" s="156"/>
      <c r="AB41" s="156"/>
      <c r="AC41" s="156"/>
      <c r="AD41" s="156"/>
      <c r="AE41" s="156"/>
      <c r="AF41" s="156"/>
    </row>
    <row r="42" spans="1:32" customFormat="1" ht="20.25" customHeight="1" x14ac:dyDescent="0.25">
      <c r="A42" s="154" t="s">
        <v>188</v>
      </c>
      <c r="B42" s="195" t="s">
        <v>438</v>
      </c>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row>
    <row r="43" spans="1:32" customFormat="1" ht="20.25" customHeight="1" x14ac:dyDescent="0.2">
      <c r="A43" s="162"/>
      <c r="B43" s="760" t="s">
        <v>551</v>
      </c>
      <c r="C43" s="757"/>
      <c r="D43" s="757"/>
      <c r="E43" s="757"/>
      <c r="F43" s="757"/>
      <c r="G43" s="757"/>
      <c r="H43" s="757"/>
      <c r="I43" s="757"/>
      <c r="J43" s="757"/>
      <c r="K43" s="757"/>
      <c r="L43" s="757"/>
      <c r="M43" s="757"/>
      <c r="N43" s="757"/>
      <c r="O43" s="188"/>
      <c r="P43" s="188"/>
      <c r="Q43" s="188"/>
      <c r="R43" s="156"/>
      <c r="S43" s="156"/>
      <c r="T43" s="156"/>
      <c r="U43" s="156"/>
      <c r="V43" s="156"/>
      <c r="W43" s="156"/>
      <c r="X43" s="156"/>
      <c r="Y43" s="156"/>
      <c r="Z43" s="156"/>
      <c r="AA43" s="156"/>
      <c r="AB43" s="156"/>
      <c r="AC43" s="156"/>
      <c r="AD43" s="156"/>
      <c r="AE43" s="156"/>
      <c r="AF43" s="156"/>
    </row>
    <row r="44" spans="1:32" customFormat="1" ht="13.5" customHeight="1" x14ac:dyDescent="0.2">
      <c r="A44" s="156"/>
      <c r="B44" s="754" t="s">
        <v>552</v>
      </c>
      <c r="C44" s="754"/>
      <c r="D44" s="754"/>
      <c r="E44" s="754"/>
      <c r="F44" s="754"/>
      <c r="G44" s="754"/>
      <c r="H44" s="754"/>
      <c r="I44" s="754"/>
      <c r="J44" s="754"/>
      <c r="K44" s="754"/>
      <c r="L44" s="754"/>
      <c r="M44" s="754"/>
      <c r="N44" s="754"/>
      <c r="O44" s="754"/>
      <c r="P44" s="754"/>
      <c r="Q44" s="156"/>
      <c r="R44" s="156"/>
      <c r="S44" s="156"/>
      <c r="T44" s="156"/>
      <c r="U44" s="156"/>
      <c r="V44" s="156"/>
      <c r="W44" s="156"/>
      <c r="X44" s="156"/>
      <c r="Y44" s="156"/>
      <c r="Z44" s="156"/>
      <c r="AA44" s="156"/>
      <c r="AB44" s="156"/>
      <c r="AC44" s="156"/>
      <c r="AD44" s="156"/>
      <c r="AE44" s="156"/>
      <c r="AF44" s="156"/>
    </row>
    <row r="45" spans="1:32" customFormat="1" ht="7.5" customHeight="1" x14ac:dyDescent="0.2">
      <c r="A45" s="156"/>
      <c r="B45" s="754"/>
      <c r="C45" s="754"/>
      <c r="D45" s="754"/>
      <c r="E45" s="754"/>
      <c r="F45" s="754"/>
      <c r="G45" s="754"/>
      <c r="H45" s="754"/>
      <c r="I45" s="754"/>
      <c r="J45" s="754"/>
      <c r="K45" s="754"/>
      <c r="L45" s="754"/>
      <c r="M45" s="754"/>
      <c r="N45" s="754"/>
      <c r="O45" s="754"/>
      <c r="P45" s="754"/>
      <c r="Q45" s="156"/>
      <c r="R45" s="156"/>
      <c r="S45" s="156"/>
      <c r="T45" s="156"/>
      <c r="U45" s="156"/>
      <c r="V45" s="156"/>
      <c r="W45" s="156"/>
      <c r="X45" s="156"/>
      <c r="Y45" s="156"/>
      <c r="Z45" s="156"/>
      <c r="AA45" s="156"/>
      <c r="AB45" s="156"/>
      <c r="AC45" s="156"/>
      <c r="AD45" s="156"/>
      <c r="AE45" s="156"/>
      <c r="AF45" s="156"/>
    </row>
    <row r="46" spans="1:32" customFormat="1" ht="15.75" customHeight="1" x14ac:dyDescent="0.25">
      <c r="A46" s="154" t="s">
        <v>189</v>
      </c>
      <c r="B46" s="154" t="s">
        <v>440</v>
      </c>
      <c r="C46" s="163"/>
      <c r="D46" s="160"/>
      <c r="E46" s="160"/>
      <c r="F46" s="160"/>
      <c r="G46" s="160"/>
      <c r="H46" s="160"/>
      <c r="I46" s="160"/>
      <c r="J46" s="160"/>
      <c r="K46" s="160"/>
      <c r="L46" s="160"/>
      <c r="M46" s="160"/>
      <c r="N46" s="160"/>
      <c r="O46" s="160"/>
      <c r="P46" s="160"/>
      <c r="Q46" s="160"/>
      <c r="R46" s="156"/>
      <c r="S46" s="156"/>
      <c r="T46" s="156"/>
      <c r="U46" s="156"/>
      <c r="V46" s="156"/>
      <c r="W46" s="156"/>
      <c r="X46" s="156"/>
      <c r="Y46" s="156"/>
      <c r="Z46" s="156"/>
      <c r="AA46" s="156"/>
      <c r="AB46" s="156"/>
      <c r="AC46" s="156"/>
      <c r="AD46" s="156"/>
      <c r="AE46" s="156"/>
      <c r="AF46" s="156"/>
    </row>
    <row r="47" spans="1:32" customFormat="1" ht="7.5" hidden="1" customHeight="1" x14ac:dyDescent="0.2">
      <c r="A47" s="160"/>
      <c r="B47" s="160"/>
      <c r="C47" s="160"/>
      <c r="D47" s="160"/>
      <c r="E47" s="160"/>
      <c r="F47" s="160"/>
      <c r="G47" s="160"/>
      <c r="H47" s="160"/>
      <c r="I47" s="160"/>
      <c r="J47" s="160"/>
      <c r="K47" s="160"/>
      <c r="L47" s="160"/>
      <c r="M47" s="160"/>
      <c r="N47" s="160"/>
      <c r="O47" s="160"/>
      <c r="P47" s="160"/>
      <c r="Q47" s="160"/>
      <c r="R47" s="156"/>
      <c r="S47" s="156"/>
      <c r="T47" s="156"/>
      <c r="U47" s="156"/>
      <c r="V47" s="156"/>
      <c r="W47" s="156"/>
      <c r="X47" s="156"/>
      <c r="Y47" s="156"/>
      <c r="Z47" s="156"/>
      <c r="AA47" s="156"/>
      <c r="AB47" s="156"/>
      <c r="AC47" s="156"/>
      <c r="AD47" s="156"/>
      <c r="AE47" s="156"/>
      <c r="AF47" s="156"/>
    </row>
    <row r="48" spans="1:32" customFormat="1" ht="2.25" hidden="1" customHeight="1" x14ac:dyDescent="0.2">
      <c r="A48" s="160"/>
      <c r="B48" s="160"/>
      <c r="C48" s="160"/>
      <c r="D48" s="160"/>
      <c r="E48" s="160"/>
      <c r="F48" s="160"/>
      <c r="G48" s="160"/>
      <c r="H48" s="160"/>
      <c r="I48" s="160"/>
      <c r="J48" s="160"/>
      <c r="K48" s="160"/>
      <c r="L48" s="160"/>
      <c r="M48" s="160"/>
      <c r="N48" s="160"/>
      <c r="O48" s="160"/>
      <c r="P48" s="160"/>
      <c r="Q48" s="160"/>
      <c r="R48" s="156"/>
      <c r="S48" s="156"/>
      <c r="T48" s="156"/>
      <c r="U48" s="156"/>
      <c r="V48" s="156"/>
      <c r="W48" s="156"/>
      <c r="X48" s="156"/>
      <c r="Y48" s="156"/>
      <c r="Z48" s="156"/>
      <c r="AA48" s="156"/>
      <c r="AB48" s="156"/>
      <c r="AC48" s="156"/>
      <c r="AD48" s="156"/>
      <c r="AE48" s="156"/>
      <c r="AF48" s="156"/>
    </row>
    <row r="49" spans="1:32" customFormat="1" ht="17.25" customHeight="1" x14ac:dyDescent="0.2">
      <c r="A49" s="156"/>
      <c r="B49" s="754" t="s">
        <v>190</v>
      </c>
      <c r="C49" s="702"/>
      <c r="D49" s="702"/>
      <c r="E49" s="702"/>
      <c r="F49" s="702"/>
      <c r="G49" s="702"/>
      <c r="H49" s="702"/>
      <c r="I49" s="702"/>
      <c r="J49" s="702"/>
      <c r="K49" s="702"/>
      <c r="L49" s="702"/>
      <c r="M49" s="702"/>
      <c r="N49" s="702"/>
      <c r="O49" s="675"/>
      <c r="P49" s="675"/>
      <c r="Q49" s="675"/>
      <c r="R49" s="156"/>
      <c r="S49" s="156"/>
      <c r="T49" s="156"/>
      <c r="U49" s="156"/>
      <c r="V49" s="156"/>
      <c r="W49" s="156"/>
      <c r="X49" s="156"/>
      <c r="Y49" s="156"/>
      <c r="Z49" s="156"/>
      <c r="AA49" s="156"/>
      <c r="AB49" s="156"/>
      <c r="AC49" s="156"/>
      <c r="AD49" s="156"/>
      <c r="AE49" s="156"/>
      <c r="AF49" s="156"/>
    </row>
    <row r="50" spans="1:32" customFormat="1" ht="5.25" customHeight="1" x14ac:dyDescent="0.2">
      <c r="A50" s="156"/>
      <c r="B50" s="702"/>
      <c r="C50" s="702"/>
      <c r="D50" s="702"/>
      <c r="E50" s="702"/>
      <c r="F50" s="702"/>
      <c r="G50" s="702"/>
      <c r="H50" s="702"/>
      <c r="I50" s="702"/>
      <c r="J50" s="702"/>
      <c r="K50" s="702"/>
      <c r="L50" s="702"/>
      <c r="M50" s="702"/>
      <c r="N50" s="702"/>
      <c r="O50" s="675"/>
      <c r="P50" s="675"/>
      <c r="Q50" s="675"/>
      <c r="R50" s="156"/>
      <c r="S50" s="156"/>
      <c r="T50" s="156"/>
      <c r="U50" s="156"/>
      <c r="V50" s="156"/>
      <c r="W50" s="156"/>
      <c r="X50" s="156"/>
      <c r="Y50" s="156"/>
      <c r="Z50" s="156"/>
      <c r="AA50" s="156"/>
      <c r="AB50" s="156"/>
      <c r="AC50" s="156"/>
      <c r="AD50" s="156"/>
      <c r="AE50" s="156"/>
      <c r="AF50" s="156"/>
    </row>
    <row r="51" spans="1:32" customFormat="1" ht="12.75" customHeight="1" x14ac:dyDescent="0.2">
      <c r="A51" s="156"/>
      <c r="B51" s="702"/>
      <c r="C51" s="702"/>
      <c r="D51" s="702"/>
      <c r="E51" s="702"/>
      <c r="F51" s="702"/>
      <c r="G51" s="702"/>
      <c r="H51" s="702"/>
      <c r="I51" s="702"/>
      <c r="J51" s="702"/>
      <c r="K51" s="702"/>
      <c r="L51" s="702"/>
      <c r="M51" s="702"/>
      <c r="N51" s="702"/>
      <c r="O51" s="675"/>
      <c r="P51" s="675"/>
      <c r="Q51" s="675"/>
      <c r="R51" s="156"/>
      <c r="S51" s="156"/>
      <c r="T51" s="156"/>
      <c r="U51" s="156"/>
      <c r="V51" s="156"/>
      <c r="W51" s="156"/>
      <c r="X51" s="156"/>
      <c r="Y51" s="156"/>
      <c r="Z51" s="156"/>
      <c r="AA51" s="156"/>
      <c r="AB51" s="156"/>
      <c r="AC51" s="156"/>
      <c r="AD51" s="156"/>
      <c r="AE51" s="156"/>
      <c r="AF51" s="156"/>
    </row>
    <row r="52" spans="1:32" customFormat="1" ht="13.5" customHeight="1" x14ac:dyDescent="0.2">
      <c r="A52" s="156"/>
      <c r="B52" s="702"/>
      <c r="C52" s="702"/>
      <c r="D52" s="702"/>
      <c r="E52" s="702"/>
      <c r="F52" s="702"/>
      <c r="G52" s="702"/>
      <c r="H52" s="702"/>
      <c r="I52" s="702"/>
      <c r="J52" s="702"/>
      <c r="K52" s="702"/>
      <c r="L52" s="702"/>
      <c r="M52" s="702"/>
      <c r="N52" s="702"/>
      <c r="O52" s="675"/>
      <c r="P52" s="675"/>
      <c r="Q52" s="675"/>
      <c r="R52" s="156"/>
      <c r="S52" s="156"/>
      <c r="T52" s="156"/>
      <c r="U52" s="156"/>
      <c r="V52" s="156"/>
      <c r="W52" s="156"/>
      <c r="X52" s="156"/>
      <c r="Y52" s="156"/>
      <c r="Z52" s="156"/>
      <c r="AA52" s="156"/>
      <c r="AB52" s="156"/>
      <c r="AC52" s="156"/>
      <c r="AD52" s="156"/>
      <c r="AE52" s="156"/>
      <c r="AF52" s="156"/>
    </row>
    <row r="53" spans="1:32" customFormat="1" ht="4.5" customHeight="1" x14ac:dyDescent="0.2">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row>
    <row r="54" spans="1:32" s="167" customFormat="1" ht="15.75" customHeight="1" x14ac:dyDescent="0.2">
      <c r="A54" s="164" t="s">
        <v>191</v>
      </c>
      <c r="B54" s="225" t="s">
        <v>199</v>
      </c>
      <c r="C54" s="165"/>
      <c r="D54" s="165"/>
      <c r="E54" s="166"/>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row>
    <row r="55" spans="1:32" customFormat="1" ht="15" customHeight="1" x14ac:dyDescent="0.2">
      <c r="A55" s="164"/>
      <c r="B55" s="755" t="s">
        <v>489</v>
      </c>
      <c r="C55" s="675"/>
      <c r="D55" s="675"/>
      <c r="E55" s="675"/>
      <c r="F55" s="675"/>
      <c r="G55" s="675"/>
      <c r="H55" s="675"/>
      <c r="I55" s="675"/>
      <c r="J55" s="675"/>
      <c r="K55" s="675"/>
      <c r="L55" s="675"/>
      <c r="M55" s="675"/>
      <c r="N55" s="168"/>
      <c r="O55" s="168"/>
      <c r="P55" s="168"/>
      <c r="Q55" s="168"/>
      <c r="R55" s="156"/>
      <c r="S55" s="156"/>
      <c r="T55" s="156"/>
      <c r="U55" s="156"/>
      <c r="V55" s="156"/>
      <c r="W55" s="156"/>
      <c r="X55" s="156"/>
      <c r="Y55" s="156"/>
      <c r="Z55" s="156"/>
      <c r="AA55" s="156"/>
      <c r="AB55" s="156"/>
      <c r="AC55" s="156"/>
      <c r="AD55" s="156"/>
      <c r="AE55" s="156"/>
    </row>
  </sheetData>
  <sheetProtection selectLockedCells="1"/>
  <mergeCells count="33">
    <mergeCell ref="L4:N4"/>
    <mergeCell ref="B43:N43"/>
    <mergeCell ref="C7:E7"/>
    <mergeCell ref="F7:H7"/>
    <mergeCell ref="I7:K7"/>
    <mergeCell ref="L7:N7"/>
    <mergeCell ref="D8:E8"/>
    <mergeCell ref="G8:H8"/>
    <mergeCell ref="J8:K8"/>
    <mergeCell ref="M8:N8"/>
    <mergeCell ref="B8:B9"/>
    <mergeCell ref="C8:C9"/>
    <mergeCell ref="F8:F9"/>
    <mergeCell ref="I8:I9"/>
    <mergeCell ref="L8:L9"/>
    <mergeCell ref="H1:H2"/>
    <mergeCell ref="I1:I2"/>
    <mergeCell ref="J1:J2"/>
    <mergeCell ref="K1:K2"/>
    <mergeCell ref="L3:N3"/>
    <mergeCell ref="B44:P45"/>
    <mergeCell ref="B55:M55"/>
    <mergeCell ref="B38:N39"/>
    <mergeCell ref="B36:N36"/>
    <mergeCell ref="B32:Q33"/>
    <mergeCell ref="B35:Q35"/>
    <mergeCell ref="B40:Q41"/>
    <mergeCell ref="B49:Q52"/>
    <mergeCell ref="O3:Q3"/>
    <mergeCell ref="O4:Q4"/>
    <mergeCell ref="O7:Q7"/>
    <mergeCell ref="O8:O9"/>
    <mergeCell ref="P8:Q8"/>
  </mergeCells>
  <printOptions horizontalCentered="1"/>
  <pageMargins left="0.70866141732283472" right="0.70866141732283472" top="0.59055118110236227" bottom="0.59055118110236227" header="0.31496062992125984" footer="0.31496062992125984"/>
  <pageSetup paperSize="9" scale="64"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ignoredErrors>
    <ignoredError sqref="E11 H11 K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B2:AI37"/>
  <sheetViews>
    <sheetView showGridLines="0" zoomScaleNormal="100" workbookViewId="0">
      <selection activeCell="B8" sqref="B8:Z12"/>
    </sheetView>
  </sheetViews>
  <sheetFormatPr defaultRowHeight="12.75" x14ac:dyDescent="0.2"/>
  <cols>
    <col min="1" max="1" width="2.7109375" customWidth="1"/>
    <col min="2" max="2" width="14.7109375" customWidth="1"/>
    <col min="3" max="3" width="4.7109375" customWidth="1"/>
    <col min="4" max="4" width="10.7109375" hidden="1" customWidth="1"/>
    <col min="5" max="5" width="39" customWidth="1"/>
    <col min="6" max="6" width="12.7109375" style="1" customWidth="1"/>
    <col min="7" max="12" width="9.7109375" style="1" customWidth="1"/>
    <col min="13" max="13" width="12.7109375" style="1" customWidth="1"/>
    <col min="14" max="19" width="9.7109375" style="1" customWidth="1"/>
    <col min="20" max="20" width="12.7109375" style="1" customWidth="1"/>
    <col min="21" max="25" width="9.7109375" style="1" customWidth="1"/>
    <col min="26" max="26" width="9.140625" style="1" customWidth="1"/>
    <col min="27" max="27" width="12.7109375" style="1" hidden="1" customWidth="1"/>
    <col min="28" max="33" width="9.7109375" style="1" hidden="1" customWidth="1"/>
    <col min="34" max="35" width="9.140625" hidden="1" customWidth="1"/>
  </cols>
  <sheetData>
    <row r="2" spans="2:35" ht="21.75" x14ac:dyDescent="0.3">
      <c r="B2" s="2" t="s">
        <v>0</v>
      </c>
      <c r="C2" s="3"/>
      <c r="D2" s="3"/>
      <c r="E2" s="3"/>
      <c r="F2" s="4"/>
      <c r="G2" s="4"/>
      <c r="H2" s="4"/>
      <c r="I2" s="4"/>
      <c r="J2" s="4"/>
      <c r="K2" s="4"/>
      <c r="L2" s="4"/>
      <c r="M2" s="5"/>
      <c r="N2" s="5"/>
      <c r="O2" s="5"/>
      <c r="P2" s="5"/>
      <c r="Q2" s="5"/>
      <c r="R2" s="5"/>
      <c r="S2" s="5"/>
      <c r="T2" s="5"/>
      <c r="U2" s="5"/>
      <c r="V2" s="5"/>
      <c r="W2" s="5"/>
      <c r="X2" s="5"/>
      <c r="Y2" s="5"/>
      <c r="Z2" s="5" t="s">
        <v>1</v>
      </c>
      <c r="AA2" s="5"/>
      <c r="AB2" s="5"/>
      <c r="AC2" s="6" t="s">
        <v>1</v>
      </c>
    </row>
    <row r="3" spans="2:35" ht="15.75" x14ac:dyDescent="0.25">
      <c r="B3" s="7" t="s">
        <v>2</v>
      </c>
      <c r="C3" s="7" t="s">
        <v>3</v>
      </c>
      <c r="D3" s="8"/>
      <c r="E3" s="9"/>
      <c r="F3" s="10"/>
      <c r="G3" s="10"/>
      <c r="H3" s="10"/>
      <c r="I3" s="10"/>
      <c r="J3" s="10"/>
      <c r="K3" s="10"/>
      <c r="L3" s="10"/>
      <c r="M3" s="11"/>
      <c r="N3" s="11"/>
      <c r="O3" s="11"/>
      <c r="P3" s="11"/>
      <c r="Q3" s="11"/>
      <c r="R3" s="11"/>
      <c r="S3" s="11"/>
      <c r="T3" s="11"/>
      <c r="U3" s="11"/>
      <c r="V3" s="11"/>
      <c r="W3" s="11"/>
      <c r="X3" s="11"/>
      <c r="Y3" s="11"/>
      <c r="Z3" s="11"/>
      <c r="AA3" s="11"/>
      <c r="AB3" s="11"/>
      <c r="AC3" s="11"/>
      <c r="AD3" s="11"/>
      <c r="AE3" s="11"/>
      <c r="AF3" s="11"/>
      <c r="AG3" s="11"/>
    </row>
    <row r="4" spans="2:35" ht="15.75" x14ac:dyDescent="0.25">
      <c r="B4" s="8"/>
      <c r="C4" s="7" t="s">
        <v>4</v>
      </c>
      <c r="D4" s="8"/>
      <c r="E4" s="9"/>
      <c r="F4" s="10"/>
      <c r="G4" s="10"/>
      <c r="H4" s="10"/>
      <c r="I4" s="10"/>
      <c r="J4" s="10"/>
      <c r="K4" s="10"/>
      <c r="L4" s="10"/>
      <c r="M4" s="11"/>
      <c r="N4" s="11"/>
      <c r="O4" s="11"/>
      <c r="P4" s="11"/>
      <c r="Q4" s="11"/>
      <c r="R4" s="11"/>
      <c r="S4" s="11"/>
      <c r="T4" s="11"/>
      <c r="U4" s="11"/>
      <c r="V4" s="11"/>
      <c r="W4" s="11"/>
      <c r="X4" s="11"/>
      <c r="Y4" s="11"/>
      <c r="Z4" s="11"/>
      <c r="AA4" s="11"/>
      <c r="AB4" s="11"/>
      <c r="AC4" s="11"/>
      <c r="AD4" s="11"/>
      <c r="AE4" s="11"/>
      <c r="AF4" s="11"/>
      <c r="AG4" s="11"/>
    </row>
    <row r="5" spans="2:35" ht="18" x14ac:dyDescent="0.25">
      <c r="B5" s="12"/>
      <c r="C5" s="12"/>
      <c r="D5" s="12"/>
      <c r="E5" s="12"/>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7" spans="2:35" ht="13.5" thickBot="1" x14ac:dyDescent="0.25">
      <c r="B7" s="14"/>
      <c r="C7" s="14"/>
      <c r="D7" s="14"/>
      <c r="E7" s="14"/>
      <c r="F7" s="15"/>
      <c r="G7" s="15"/>
      <c r="H7" s="15"/>
      <c r="I7" s="15"/>
      <c r="J7" s="15"/>
      <c r="K7" s="15"/>
      <c r="L7" s="15"/>
      <c r="M7" s="15"/>
      <c r="N7" s="15"/>
      <c r="O7" s="15"/>
      <c r="P7" s="15"/>
      <c r="Q7" s="15"/>
      <c r="R7" s="15"/>
      <c r="S7" s="15"/>
      <c r="T7" s="15"/>
      <c r="U7" s="15"/>
      <c r="V7" s="15"/>
      <c r="W7" s="15"/>
      <c r="X7" s="15"/>
      <c r="Y7" s="15"/>
      <c r="Z7" s="15" t="s">
        <v>5</v>
      </c>
      <c r="AA7" s="15"/>
      <c r="AB7" s="15"/>
      <c r="AC7" s="15"/>
      <c r="AD7" s="15"/>
      <c r="AE7" s="15"/>
      <c r="AF7" s="15"/>
      <c r="AG7" s="15" t="s">
        <v>5</v>
      </c>
    </row>
    <row r="8" spans="2:35" x14ac:dyDescent="0.2">
      <c r="B8" s="477"/>
      <c r="C8" s="483"/>
      <c r="D8" s="477"/>
      <c r="E8" s="477"/>
      <c r="F8" s="710" t="s">
        <v>548</v>
      </c>
      <c r="G8" s="711"/>
      <c r="H8" s="711"/>
      <c r="I8" s="711"/>
      <c r="J8" s="711"/>
      <c r="K8" s="528"/>
      <c r="L8" s="529"/>
      <c r="M8" s="710" t="s">
        <v>549</v>
      </c>
      <c r="N8" s="711"/>
      <c r="O8" s="711"/>
      <c r="P8" s="711"/>
      <c r="Q8" s="711"/>
      <c r="R8" s="528"/>
      <c r="S8" s="529"/>
      <c r="T8" s="710" t="s">
        <v>558</v>
      </c>
      <c r="U8" s="711"/>
      <c r="V8" s="711"/>
      <c r="W8" s="711"/>
      <c r="X8" s="711"/>
      <c r="Y8" s="711"/>
      <c r="Z8" s="712"/>
      <c r="AA8" s="765" t="s">
        <v>6</v>
      </c>
      <c r="AB8" s="766"/>
      <c r="AC8" s="766"/>
      <c r="AD8" s="766"/>
      <c r="AE8" s="766"/>
      <c r="AF8" s="766"/>
      <c r="AG8" s="767"/>
    </row>
    <row r="9" spans="2:35" ht="18" customHeight="1" x14ac:dyDescent="0.2">
      <c r="B9" s="718" t="s">
        <v>7</v>
      </c>
      <c r="C9" s="719"/>
      <c r="D9" s="484" t="s">
        <v>8</v>
      </c>
      <c r="E9" s="485" t="s">
        <v>9</v>
      </c>
      <c r="F9" s="486"/>
      <c r="G9" s="487" t="s">
        <v>10</v>
      </c>
      <c r="H9" s="486"/>
      <c r="I9" s="486"/>
      <c r="J9" s="486"/>
      <c r="K9" s="486"/>
      <c r="L9" s="490"/>
      <c r="M9" s="488"/>
      <c r="N9" s="487" t="s">
        <v>10</v>
      </c>
      <c r="O9" s="486"/>
      <c r="P9" s="486"/>
      <c r="Q9" s="486"/>
      <c r="R9" s="486"/>
      <c r="S9" s="486"/>
      <c r="T9" s="488"/>
      <c r="U9" s="487" t="s">
        <v>10</v>
      </c>
      <c r="V9" s="489"/>
      <c r="W9" s="489"/>
      <c r="X9" s="489"/>
      <c r="Y9" s="489"/>
      <c r="Z9" s="490"/>
      <c r="AA9" s="17"/>
      <c r="AB9" s="16" t="s">
        <v>10</v>
      </c>
      <c r="AC9" s="73"/>
      <c r="AD9" s="73"/>
      <c r="AE9" s="73"/>
      <c r="AF9" s="73"/>
      <c r="AG9" s="18"/>
    </row>
    <row r="10" spans="2:35" ht="48" customHeight="1" x14ac:dyDescent="0.2">
      <c r="B10" s="491"/>
      <c r="C10" s="492"/>
      <c r="D10" s="491"/>
      <c r="E10" s="491"/>
      <c r="F10" s="493" t="s">
        <v>11</v>
      </c>
      <c r="G10" s="494" t="s">
        <v>12</v>
      </c>
      <c r="H10" s="494" t="s">
        <v>13</v>
      </c>
      <c r="I10" s="494" t="s">
        <v>14</v>
      </c>
      <c r="J10" s="494" t="s">
        <v>15</v>
      </c>
      <c r="K10" s="530" t="s">
        <v>73</v>
      </c>
      <c r="L10" s="531" t="s">
        <v>70</v>
      </c>
      <c r="M10" s="493" t="s">
        <v>11</v>
      </c>
      <c r="N10" s="494" t="s">
        <v>12</v>
      </c>
      <c r="O10" s="494" t="s">
        <v>13</v>
      </c>
      <c r="P10" s="494" t="s">
        <v>14</v>
      </c>
      <c r="Q10" s="494" t="s">
        <v>15</v>
      </c>
      <c r="R10" s="530" t="s">
        <v>74</v>
      </c>
      <c r="S10" s="494" t="s">
        <v>70</v>
      </c>
      <c r="T10" s="493" t="s">
        <v>11</v>
      </c>
      <c r="U10" s="494" t="s">
        <v>12</v>
      </c>
      <c r="V10" s="494" t="s">
        <v>13</v>
      </c>
      <c r="W10" s="494" t="s">
        <v>14</v>
      </c>
      <c r="X10" s="494" t="s">
        <v>15</v>
      </c>
      <c r="Y10" s="530" t="s">
        <v>74</v>
      </c>
      <c r="Z10" s="495" t="s">
        <v>70</v>
      </c>
      <c r="AA10" s="19" t="s">
        <v>11</v>
      </c>
      <c r="AB10" s="20" t="s">
        <v>12</v>
      </c>
      <c r="AC10" s="20" t="s">
        <v>13</v>
      </c>
      <c r="AD10" s="20" t="s">
        <v>14</v>
      </c>
      <c r="AE10" s="20" t="s">
        <v>15</v>
      </c>
      <c r="AF10" s="71" t="s">
        <v>74</v>
      </c>
      <c r="AG10" s="21" t="s">
        <v>70</v>
      </c>
      <c r="AI10" s="245" t="s">
        <v>488</v>
      </c>
    </row>
    <row r="11" spans="2:35" ht="13.5" thickBot="1" x14ac:dyDescent="0.25">
      <c r="B11" s="496" t="s">
        <v>16</v>
      </c>
      <c r="C11" s="497" t="s">
        <v>17</v>
      </c>
      <c r="D11" s="479"/>
      <c r="E11" s="479"/>
      <c r="F11" s="480"/>
      <c r="G11" s="481" t="s">
        <v>18</v>
      </c>
      <c r="H11" s="481" t="s">
        <v>19</v>
      </c>
      <c r="I11" s="481" t="s">
        <v>20</v>
      </c>
      <c r="J11" s="481" t="s">
        <v>21</v>
      </c>
      <c r="K11" s="532" t="s">
        <v>72</v>
      </c>
      <c r="L11" s="533" t="s">
        <v>69</v>
      </c>
      <c r="M11" s="480"/>
      <c r="N11" s="498" t="s">
        <v>584</v>
      </c>
      <c r="O11" s="481" t="s">
        <v>19</v>
      </c>
      <c r="P11" s="481" t="s">
        <v>20</v>
      </c>
      <c r="Q11" s="481" t="s">
        <v>21</v>
      </c>
      <c r="R11" s="532" t="s">
        <v>72</v>
      </c>
      <c r="S11" s="481" t="s">
        <v>69</v>
      </c>
      <c r="T11" s="480"/>
      <c r="U11" s="498" t="s">
        <v>584</v>
      </c>
      <c r="V11" s="481" t="s">
        <v>19</v>
      </c>
      <c r="W11" s="481" t="s">
        <v>20</v>
      </c>
      <c r="X11" s="481" t="s">
        <v>21</v>
      </c>
      <c r="Y11" s="532" t="s">
        <v>72</v>
      </c>
      <c r="Z11" s="482" t="s">
        <v>69</v>
      </c>
      <c r="AA11" s="22"/>
      <c r="AB11" s="23" t="s">
        <v>18</v>
      </c>
      <c r="AC11" s="23" t="s">
        <v>19</v>
      </c>
      <c r="AD11" s="23" t="s">
        <v>20</v>
      </c>
      <c r="AE11" s="23" t="s">
        <v>21</v>
      </c>
      <c r="AF11" s="72" t="s">
        <v>72</v>
      </c>
      <c r="AG11" s="24" t="s">
        <v>69</v>
      </c>
      <c r="AH11" s="428">
        <v>0.75</v>
      </c>
      <c r="AI11" s="429" t="s">
        <v>457</v>
      </c>
    </row>
    <row r="12" spans="2:35" ht="13.5" thickBot="1" x14ac:dyDescent="0.25">
      <c r="B12" s="499"/>
      <c r="C12" s="500"/>
      <c r="D12" s="499"/>
      <c r="E12" s="499"/>
      <c r="F12" s="501" t="s">
        <v>22</v>
      </c>
      <c r="G12" s="713" t="s">
        <v>22</v>
      </c>
      <c r="H12" s="714"/>
      <c r="I12" s="714"/>
      <c r="J12" s="714"/>
      <c r="K12" s="534"/>
      <c r="L12" s="535"/>
      <c r="M12" s="501" t="s">
        <v>22</v>
      </c>
      <c r="N12" s="713" t="s">
        <v>22</v>
      </c>
      <c r="O12" s="714"/>
      <c r="P12" s="714"/>
      <c r="Q12" s="714"/>
      <c r="R12" s="534"/>
      <c r="S12" s="536"/>
      <c r="T12" s="501" t="s">
        <v>22</v>
      </c>
      <c r="U12" s="713" t="s">
        <v>22</v>
      </c>
      <c r="V12" s="714"/>
      <c r="W12" s="714"/>
      <c r="X12" s="714"/>
      <c r="Y12" s="714"/>
      <c r="Z12" s="715"/>
      <c r="AA12" s="25" t="s">
        <v>22</v>
      </c>
      <c r="AB12" s="768" t="s">
        <v>22</v>
      </c>
      <c r="AC12" s="769"/>
      <c r="AD12" s="769"/>
      <c r="AE12" s="769"/>
      <c r="AF12" s="769"/>
      <c r="AG12" s="770"/>
    </row>
    <row r="13" spans="2:35" ht="18.75" customHeight="1" thickBot="1" x14ac:dyDescent="0.25">
      <c r="B13" s="28" t="s">
        <v>23</v>
      </c>
      <c r="C13" s="26" t="s">
        <v>24</v>
      </c>
      <c r="D13" s="29"/>
      <c r="E13" s="35" t="s">
        <v>71</v>
      </c>
      <c r="F13" s="30">
        <f>SUM(G13:L13)</f>
        <v>600</v>
      </c>
      <c r="G13" s="27">
        <v>300</v>
      </c>
      <c r="H13" s="27">
        <v>0</v>
      </c>
      <c r="I13" s="27">
        <v>0</v>
      </c>
      <c r="J13" s="27">
        <v>0</v>
      </c>
      <c r="K13" s="68">
        <v>0</v>
      </c>
      <c r="L13" s="67">
        <v>300</v>
      </c>
      <c r="M13" s="30">
        <f>SUM(N13:S13)</f>
        <v>0</v>
      </c>
      <c r="N13" s="27">
        <v>0</v>
      </c>
      <c r="O13" s="27">
        <v>0</v>
      </c>
      <c r="P13" s="27">
        <v>0</v>
      </c>
      <c r="Q13" s="27">
        <v>0</v>
      </c>
      <c r="R13" s="68">
        <v>0</v>
      </c>
      <c r="S13" s="31">
        <v>0</v>
      </c>
      <c r="T13" s="231">
        <f>SUM(U13:Z13)</f>
        <v>285</v>
      </c>
      <c r="U13" s="27">
        <f>285-285</f>
        <v>0</v>
      </c>
      <c r="V13" s="27">
        <f>285-285</f>
        <v>0</v>
      </c>
      <c r="W13" s="27"/>
      <c r="X13" s="27"/>
      <c r="Y13" s="27"/>
      <c r="Z13" s="31">
        <v>285</v>
      </c>
      <c r="AA13" s="30">
        <f>SUM(AB13:AG13)</f>
        <v>-315</v>
      </c>
      <c r="AB13" s="27">
        <f t="shared" ref="AB13:AG13" si="0">U13-G13</f>
        <v>-300</v>
      </c>
      <c r="AC13" s="27">
        <f t="shared" si="0"/>
        <v>0</v>
      </c>
      <c r="AD13" s="27">
        <f t="shared" si="0"/>
        <v>0</v>
      </c>
      <c r="AE13" s="27">
        <f t="shared" si="0"/>
        <v>0</v>
      </c>
      <c r="AF13" s="27">
        <f t="shared" si="0"/>
        <v>0</v>
      </c>
      <c r="AG13" s="31">
        <f t="shared" si="0"/>
        <v>-15</v>
      </c>
    </row>
    <row r="14" spans="2:35" ht="15" thickBot="1" x14ac:dyDescent="0.25">
      <c r="B14" s="28" t="s">
        <v>25</v>
      </c>
      <c r="C14" s="26" t="s">
        <v>26</v>
      </c>
      <c r="D14" s="29"/>
      <c r="E14" s="35" t="s">
        <v>27</v>
      </c>
      <c r="F14" s="30">
        <f t="shared" ref="F14:F20" si="1">SUM(G14:L14)</f>
        <v>36512</v>
      </c>
      <c r="G14" s="27">
        <v>13372</v>
      </c>
      <c r="H14" s="27">
        <v>18864</v>
      </c>
      <c r="I14" s="27">
        <v>1602</v>
      </c>
      <c r="J14" s="27">
        <v>2674</v>
      </c>
      <c r="K14" s="68"/>
      <c r="L14" s="67"/>
      <c r="M14" s="30">
        <f t="shared" ref="M14:M20" si="2">SUM(N14:S14)</f>
        <v>36562</v>
      </c>
      <c r="N14" s="27">
        <v>13422</v>
      </c>
      <c r="O14" s="27">
        <v>18864</v>
      </c>
      <c r="P14" s="27">
        <v>1602</v>
      </c>
      <c r="Q14" s="27">
        <v>2674</v>
      </c>
      <c r="R14" s="68"/>
      <c r="S14" s="31"/>
      <c r="T14" s="30">
        <f>SUM(U14:Z14)</f>
        <v>35217</v>
      </c>
      <c r="U14" s="27">
        <f>12703-417</f>
        <v>12286</v>
      </c>
      <c r="V14" s="27">
        <v>18864</v>
      </c>
      <c r="W14" s="27">
        <v>1596</v>
      </c>
      <c r="X14" s="27">
        <v>2471</v>
      </c>
      <c r="Y14" s="27"/>
      <c r="Z14" s="31"/>
      <c r="AA14" s="30">
        <f t="shared" ref="AA14:AA20" si="3">SUM(AB14:AG14)</f>
        <v>-1295</v>
      </c>
      <c r="AB14" s="27">
        <f t="shared" ref="AB14:AB20" si="4">U14-G14</f>
        <v>-1086</v>
      </c>
      <c r="AC14" s="27">
        <f t="shared" ref="AC14:AC20" si="5">V14-H14</f>
        <v>0</v>
      </c>
      <c r="AD14" s="27">
        <f t="shared" ref="AD14:AD20" si="6">W14-I14</f>
        <v>-6</v>
      </c>
      <c r="AE14" s="27">
        <f t="shared" ref="AE14:AE20" si="7">X14-J14</f>
        <v>-203</v>
      </c>
      <c r="AF14" s="27">
        <f t="shared" ref="AF14:AF20" si="8">Y14-K14</f>
        <v>0</v>
      </c>
      <c r="AG14" s="31">
        <f t="shared" ref="AG14:AG20" si="9">Z14-L14</f>
        <v>0</v>
      </c>
      <c r="AH14" s="230">
        <f>ROUND($AH$11*X14,0)</f>
        <v>1853</v>
      </c>
    </row>
    <row r="15" spans="2:35" s="1" customFormat="1" ht="15" thickBot="1" x14ac:dyDescent="0.25">
      <c r="B15" s="28" t="s">
        <v>28</v>
      </c>
      <c r="C15" s="26" t="s">
        <v>29</v>
      </c>
      <c r="D15" s="29"/>
      <c r="E15" s="35" t="s">
        <v>30</v>
      </c>
      <c r="F15" s="30">
        <f t="shared" si="1"/>
        <v>28662</v>
      </c>
      <c r="G15" s="27">
        <v>10182</v>
      </c>
      <c r="H15" s="27">
        <v>13780</v>
      </c>
      <c r="I15" s="27"/>
      <c r="J15" s="27">
        <v>4700</v>
      </c>
      <c r="K15" s="68"/>
      <c r="L15" s="67"/>
      <c r="M15" s="30">
        <f t="shared" si="2"/>
        <v>31297</v>
      </c>
      <c r="N15" s="27">
        <f>10732+337</f>
        <v>11069</v>
      </c>
      <c r="O15" s="27">
        <v>14085</v>
      </c>
      <c r="P15" s="27"/>
      <c r="Q15" s="27">
        <v>5893</v>
      </c>
      <c r="R15" s="68">
        <v>250</v>
      </c>
      <c r="S15" s="31"/>
      <c r="T15" s="30">
        <f t="shared" ref="T15:T20" si="10">SUM(U15:Z15)</f>
        <v>30660</v>
      </c>
      <c r="U15" s="27">
        <f>9674+69-320+66</f>
        <v>9489</v>
      </c>
      <c r="V15" s="27">
        <f>13780+203+315</f>
        <v>14298</v>
      </c>
      <c r="W15" s="27"/>
      <c r="X15" s="27">
        <v>6873</v>
      </c>
      <c r="Y15" s="27"/>
      <c r="Z15" s="31"/>
      <c r="AA15" s="30">
        <f t="shared" si="3"/>
        <v>1998</v>
      </c>
      <c r="AB15" s="27">
        <f t="shared" si="4"/>
        <v>-693</v>
      </c>
      <c r="AC15" s="27">
        <f t="shared" si="5"/>
        <v>518</v>
      </c>
      <c r="AD15" s="27">
        <f t="shared" si="6"/>
        <v>0</v>
      </c>
      <c r="AE15" s="27">
        <f t="shared" si="7"/>
        <v>2173</v>
      </c>
      <c r="AF15" s="27">
        <f t="shared" si="8"/>
        <v>0</v>
      </c>
      <c r="AG15" s="31">
        <f t="shared" si="9"/>
        <v>0</v>
      </c>
      <c r="AH15" s="230">
        <f t="shared" ref="AH15:AH20" si="11">ROUND($AH$11*X15,0)</f>
        <v>5155</v>
      </c>
    </row>
    <row r="16" spans="2:35" s="1" customFormat="1" ht="15" thickBot="1" x14ac:dyDescent="0.25">
      <c r="B16" s="28" t="s">
        <v>31</v>
      </c>
      <c r="C16" s="26" t="s">
        <v>29</v>
      </c>
      <c r="D16" s="29"/>
      <c r="E16" s="35" t="s">
        <v>32</v>
      </c>
      <c r="F16" s="30">
        <f t="shared" si="1"/>
        <v>5807</v>
      </c>
      <c r="G16" s="27">
        <v>1911</v>
      </c>
      <c r="H16" s="27">
        <v>2660</v>
      </c>
      <c r="I16" s="27"/>
      <c r="J16" s="27">
        <v>1236</v>
      </c>
      <c r="K16" s="68"/>
      <c r="L16" s="67"/>
      <c r="M16" s="30">
        <f t="shared" si="2"/>
        <v>5411</v>
      </c>
      <c r="N16" s="27">
        <v>2066</v>
      </c>
      <c r="O16" s="27">
        <v>2660</v>
      </c>
      <c r="P16" s="27"/>
      <c r="Q16" s="27">
        <v>685</v>
      </c>
      <c r="R16" s="68"/>
      <c r="S16" s="31"/>
      <c r="T16" s="30">
        <f t="shared" si="10"/>
        <v>5284</v>
      </c>
      <c r="U16" s="27">
        <f>1815-60+19</f>
        <v>1774</v>
      </c>
      <c r="V16" s="27">
        <f>2660+200</f>
        <v>2860</v>
      </c>
      <c r="W16" s="27"/>
      <c r="X16" s="27">
        <v>650</v>
      </c>
      <c r="Y16" s="27"/>
      <c r="Z16" s="31"/>
      <c r="AA16" s="30">
        <f t="shared" si="3"/>
        <v>-523</v>
      </c>
      <c r="AB16" s="27">
        <f t="shared" si="4"/>
        <v>-137</v>
      </c>
      <c r="AC16" s="27">
        <f t="shared" si="5"/>
        <v>200</v>
      </c>
      <c r="AD16" s="27">
        <f t="shared" si="6"/>
        <v>0</v>
      </c>
      <c r="AE16" s="27">
        <f t="shared" si="7"/>
        <v>-586</v>
      </c>
      <c r="AF16" s="27">
        <f t="shared" si="8"/>
        <v>0</v>
      </c>
      <c r="AG16" s="31">
        <f t="shared" si="9"/>
        <v>0</v>
      </c>
      <c r="AH16" s="230">
        <f t="shared" si="11"/>
        <v>488</v>
      </c>
    </row>
    <row r="17" spans="2:35" s="1" customFormat="1" ht="15" thickBot="1" x14ac:dyDescent="0.25">
      <c r="B17" s="28" t="s">
        <v>33</v>
      </c>
      <c r="C17" s="26" t="s">
        <v>29</v>
      </c>
      <c r="D17" s="29"/>
      <c r="E17" s="35" t="s">
        <v>617</v>
      </c>
      <c r="F17" s="30">
        <f t="shared" si="1"/>
        <v>12659</v>
      </c>
      <c r="G17" s="27">
        <v>4892</v>
      </c>
      <c r="H17" s="27">
        <v>6702</v>
      </c>
      <c r="I17" s="27"/>
      <c r="J17" s="27">
        <v>1065</v>
      </c>
      <c r="K17" s="68"/>
      <c r="L17" s="67"/>
      <c r="M17" s="30">
        <f t="shared" si="2"/>
        <v>12809</v>
      </c>
      <c r="N17" s="27">
        <f>4892+150</f>
        <v>5042</v>
      </c>
      <c r="O17" s="27">
        <v>6702</v>
      </c>
      <c r="P17" s="27"/>
      <c r="Q17" s="27">
        <v>1065</v>
      </c>
      <c r="R17" s="68"/>
      <c r="S17" s="31"/>
      <c r="T17" s="30">
        <f t="shared" si="10"/>
        <v>12562</v>
      </c>
      <c r="U17" s="27">
        <f>4647+13-153</f>
        <v>4507</v>
      </c>
      <c r="V17" s="27">
        <v>6702</v>
      </c>
      <c r="W17" s="27"/>
      <c r="X17" s="27">
        <v>1353</v>
      </c>
      <c r="Y17" s="27"/>
      <c r="Z17" s="31"/>
      <c r="AA17" s="30">
        <f t="shared" si="3"/>
        <v>-97</v>
      </c>
      <c r="AB17" s="27">
        <f t="shared" si="4"/>
        <v>-385</v>
      </c>
      <c r="AC17" s="27">
        <f t="shared" si="5"/>
        <v>0</v>
      </c>
      <c r="AD17" s="27">
        <f t="shared" si="6"/>
        <v>0</v>
      </c>
      <c r="AE17" s="27">
        <f t="shared" si="7"/>
        <v>288</v>
      </c>
      <c r="AF17" s="27">
        <f t="shared" si="8"/>
        <v>0</v>
      </c>
      <c r="AG17" s="31">
        <f t="shared" si="9"/>
        <v>0</v>
      </c>
      <c r="AH17" s="230">
        <f t="shared" si="11"/>
        <v>1015</v>
      </c>
    </row>
    <row r="18" spans="2:35" s="1" customFormat="1" ht="15" thickBot="1" x14ac:dyDescent="0.25">
      <c r="B18" s="28" t="s">
        <v>34</v>
      </c>
      <c r="C18" s="26" t="s">
        <v>29</v>
      </c>
      <c r="D18" s="29"/>
      <c r="E18" s="35" t="s">
        <v>35</v>
      </c>
      <c r="F18" s="30">
        <f t="shared" si="1"/>
        <v>17916</v>
      </c>
      <c r="G18" s="27">
        <v>6807</v>
      </c>
      <c r="H18" s="27">
        <v>10194</v>
      </c>
      <c r="I18" s="27"/>
      <c r="J18" s="27">
        <v>915</v>
      </c>
      <c r="K18" s="68"/>
      <c r="L18" s="67"/>
      <c r="M18" s="30">
        <f t="shared" si="2"/>
        <v>18430</v>
      </c>
      <c r="N18" s="27">
        <v>6821</v>
      </c>
      <c r="O18" s="27">
        <v>10194</v>
      </c>
      <c r="P18" s="27"/>
      <c r="Q18" s="27">
        <v>915</v>
      </c>
      <c r="R18" s="68">
        <v>500</v>
      </c>
      <c r="S18" s="31"/>
      <c r="T18" s="30">
        <f t="shared" si="10"/>
        <v>17366</v>
      </c>
      <c r="U18" s="27">
        <f>6467-212</f>
        <v>6255</v>
      </c>
      <c r="V18" s="27">
        <v>10194</v>
      </c>
      <c r="W18" s="27"/>
      <c r="X18" s="27">
        <v>917</v>
      </c>
      <c r="Y18" s="27"/>
      <c r="Z18" s="31"/>
      <c r="AA18" s="30">
        <f t="shared" si="3"/>
        <v>-550</v>
      </c>
      <c r="AB18" s="27">
        <f t="shared" si="4"/>
        <v>-552</v>
      </c>
      <c r="AC18" s="27">
        <f t="shared" si="5"/>
        <v>0</v>
      </c>
      <c r="AD18" s="27">
        <f t="shared" si="6"/>
        <v>0</v>
      </c>
      <c r="AE18" s="27">
        <f t="shared" si="7"/>
        <v>2</v>
      </c>
      <c r="AF18" s="27">
        <f t="shared" si="8"/>
        <v>0</v>
      </c>
      <c r="AG18" s="31">
        <f t="shared" si="9"/>
        <v>0</v>
      </c>
      <c r="AH18" s="230">
        <f t="shared" si="11"/>
        <v>688</v>
      </c>
    </row>
    <row r="19" spans="2:35" s="1" customFormat="1" ht="15" thickBot="1" x14ac:dyDescent="0.25">
      <c r="B19" s="28" t="s">
        <v>36</v>
      </c>
      <c r="C19" s="26" t="s">
        <v>29</v>
      </c>
      <c r="D19" s="29"/>
      <c r="E19" s="35" t="s">
        <v>37</v>
      </c>
      <c r="F19" s="30">
        <f t="shared" si="1"/>
        <v>21043</v>
      </c>
      <c r="G19" s="27">
        <v>9280</v>
      </c>
      <c r="H19" s="27">
        <v>10666</v>
      </c>
      <c r="I19" s="27"/>
      <c r="J19" s="27">
        <v>1097</v>
      </c>
      <c r="K19" s="68"/>
      <c r="L19" s="67"/>
      <c r="M19" s="30">
        <f t="shared" si="2"/>
        <v>21173</v>
      </c>
      <c r="N19" s="27">
        <f>100+9280</f>
        <v>9380</v>
      </c>
      <c r="O19" s="27">
        <v>10666</v>
      </c>
      <c r="P19" s="27"/>
      <c r="Q19" s="27">
        <v>1097</v>
      </c>
      <c r="R19" s="68"/>
      <c r="S19" s="31">
        <v>30</v>
      </c>
      <c r="T19" s="30">
        <f t="shared" si="10"/>
        <v>20184</v>
      </c>
      <c r="U19" s="27">
        <f>8816-290</f>
        <v>8526</v>
      </c>
      <c r="V19" s="27">
        <v>10666</v>
      </c>
      <c r="W19" s="27"/>
      <c r="X19" s="27">
        <v>992</v>
      </c>
      <c r="Y19" s="27"/>
      <c r="Z19" s="31"/>
      <c r="AA19" s="30">
        <f t="shared" si="3"/>
        <v>-859</v>
      </c>
      <c r="AB19" s="27">
        <f t="shared" si="4"/>
        <v>-754</v>
      </c>
      <c r="AC19" s="27">
        <f t="shared" si="5"/>
        <v>0</v>
      </c>
      <c r="AD19" s="27">
        <f t="shared" si="6"/>
        <v>0</v>
      </c>
      <c r="AE19" s="27">
        <f t="shared" si="7"/>
        <v>-105</v>
      </c>
      <c r="AF19" s="27">
        <f t="shared" si="8"/>
        <v>0</v>
      </c>
      <c r="AG19" s="31">
        <f t="shared" si="9"/>
        <v>0</v>
      </c>
      <c r="AH19" s="230">
        <f t="shared" si="11"/>
        <v>744</v>
      </c>
    </row>
    <row r="20" spans="2:35" s="1" customFormat="1" ht="15" thickBot="1" x14ac:dyDescent="0.25">
      <c r="B20" s="28" t="s">
        <v>38</v>
      </c>
      <c r="C20" s="26" t="s">
        <v>29</v>
      </c>
      <c r="D20" s="29"/>
      <c r="E20" s="35" t="s">
        <v>39</v>
      </c>
      <c r="F20" s="30">
        <f t="shared" si="1"/>
        <v>2880</v>
      </c>
      <c r="G20" s="27">
        <v>1226</v>
      </c>
      <c r="H20" s="27">
        <v>0</v>
      </c>
      <c r="I20" s="27"/>
      <c r="J20" s="27">
        <v>1354</v>
      </c>
      <c r="K20" s="68">
        <v>300</v>
      </c>
      <c r="L20" s="67"/>
      <c r="M20" s="30">
        <f t="shared" si="2"/>
        <v>3031</v>
      </c>
      <c r="N20" s="27">
        <v>1236</v>
      </c>
      <c r="O20" s="27"/>
      <c r="P20" s="27"/>
      <c r="Q20" s="27">
        <v>1354</v>
      </c>
      <c r="R20" s="68">
        <v>300</v>
      </c>
      <c r="S20" s="31">
        <v>141</v>
      </c>
      <c r="T20" s="30">
        <f t="shared" si="10"/>
        <v>2408</v>
      </c>
      <c r="U20" s="27">
        <f>1165-38</f>
        <v>1127</v>
      </c>
      <c r="V20" s="27"/>
      <c r="W20" s="27"/>
      <c r="X20" s="27">
        <v>1281</v>
      </c>
      <c r="Y20" s="27"/>
      <c r="Z20" s="31"/>
      <c r="AA20" s="30">
        <f t="shared" si="3"/>
        <v>-472</v>
      </c>
      <c r="AB20" s="27">
        <f t="shared" si="4"/>
        <v>-99</v>
      </c>
      <c r="AC20" s="27">
        <f t="shared" si="5"/>
        <v>0</v>
      </c>
      <c r="AD20" s="27">
        <f t="shared" si="6"/>
        <v>0</v>
      </c>
      <c r="AE20" s="27">
        <f t="shared" si="7"/>
        <v>-73</v>
      </c>
      <c r="AF20" s="27">
        <f t="shared" si="8"/>
        <v>-300</v>
      </c>
      <c r="AG20" s="31">
        <f t="shared" si="9"/>
        <v>0</v>
      </c>
      <c r="AH20" s="230">
        <f t="shared" si="11"/>
        <v>961</v>
      </c>
    </row>
    <row r="21" spans="2:35" s="1" customFormat="1" ht="15.75" thickBot="1" x14ac:dyDescent="0.25">
      <c r="B21" s="716" t="s">
        <v>40</v>
      </c>
      <c r="C21" s="717"/>
      <c r="D21" s="32"/>
      <c r="E21" s="33"/>
      <c r="F21" s="34">
        <f>SUM(F13:F20)</f>
        <v>126079</v>
      </c>
      <c r="G21" s="37">
        <f>SUM(G13:G20)</f>
        <v>47970</v>
      </c>
      <c r="H21" s="37">
        <f t="shared" ref="H21:AG21" si="12">SUM(H13:H20)</f>
        <v>62866</v>
      </c>
      <c r="I21" s="37">
        <f t="shared" si="12"/>
        <v>1602</v>
      </c>
      <c r="J21" s="70">
        <f t="shared" si="12"/>
        <v>13041</v>
      </c>
      <c r="K21" s="37">
        <f t="shared" si="12"/>
        <v>300</v>
      </c>
      <c r="L21" s="36">
        <f t="shared" si="12"/>
        <v>300</v>
      </c>
      <c r="M21" s="34">
        <f>SUM(M13:M20)</f>
        <v>128713</v>
      </c>
      <c r="N21" s="37">
        <f t="shared" si="12"/>
        <v>49036</v>
      </c>
      <c r="O21" s="37">
        <f t="shared" si="12"/>
        <v>63171</v>
      </c>
      <c r="P21" s="37">
        <f t="shared" si="12"/>
        <v>1602</v>
      </c>
      <c r="Q21" s="36">
        <f t="shared" si="12"/>
        <v>13683</v>
      </c>
      <c r="R21" s="37">
        <f t="shared" si="12"/>
        <v>1050</v>
      </c>
      <c r="S21" s="69">
        <f t="shared" si="12"/>
        <v>171</v>
      </c>
      <c r="T21" s="34">
        <f>SUM(T13:T20)</f>
        <v>123966</v>
      </c>
      <c r="U21" s="37">
        <f t="shared" si="12"/>
        <v>43964</v>
      </c>
      <c r="V21" s="37">
        <f t="shared" si="12"/>
        <v>63584</v>
      </c>
      <c r="W21" s="37">
        <f t="shared" si="12"/>
        <v>1596</v>
      </c>
      <c r="X21" s="37">
        <f t="shared" si="12"/>
        <v>14537</v>
      </c>
      <c r="Y21" s="37">
        <f t="shared" si="12"/>
        <v>0</v>
      </c>
      <c r="Z21" s="38">
        <f t="shared" si="12"/>
        <v>285</v>
      </c>
      <c r="AA21" s="34">
        <f t="shared" si="12"/>
        <v>-2113</v>
      </c>
      <c r="AB21" s="37">
        <f t="shared" si="12"/>
        <v>-4006</v>
      </c>
      <c r="AC21" s="37">
        <f t="shared" si="12"/>
        <v>718</v>
      </c>
      <c r="AD21" s="37">
        <f t="shared" si="12"/>
        <v>-6</v>
      </c>
      <c r="AE21" s="37">
        <f>SUM(AE13:AE20)</f>
        <v>1496</v>
      </c>
      <c r="AF21" s="37">
        <f>SUM(AF13:AF20)</f>
        <v>-300</v>
      </c>
      <c r="AG21" s="38">
        <f t="shared" si="12"/>
        <v>-15</v>
      </c>
      <c r="AH21" s="1">
        <f>SUM(AH14:AH20)</f>
        <v>10904</v>
      </c>
    </row>
    <row r="22" spans="2:35" ht="5.25" customHeight="1" x14ac:dyDescent="0.2"/>
    <row r="23" spans="2:35" ht="14.25" x14ac:dyDescent="0.2">
      <c r="B23" s="763" t="s">
        <v>618</v>
      </c>
      <c r="C23" s="764"/>
      <c r="D23" s="764"/>
      <c r="E23" s="764"/>
      <c r="F23" s="764"/>
      <c r="G23" s="764"/>
      <c r="H23" s="764"/>
      <c r="I23" s="764"/>
      <c r="J23" s="764"/>
      <c r="K23" s="672"/>
      <c r="L23" s="672"/>
      <c r="M23" s="672"/>
      <c r="N23" s="672"/>
      <c r="AH23" s="761">
        <f>X21*AH11</f>
        <v>10902.75</v>
      </c>
      <c r="AI23" s="762"/>
    </row>
    <row r="25" spans="2:35" x14ac:dyDescent="0.2">
      <c r="N25" s="200"/>
      <c r="O25" s="200"/>
      <c r="P25" s="200"/>
      <c r="Q25" s="200"/>
    </row>
    <row r="26" spans="2:35" x14ac:dyDescent="0.2">
      <c r="M26" s="308"/>
    </row>
    <row r="27" spans="2:35" x14ac:dyDescent="0.2">
      <c r="M27" s="308"/>
    </row>
    <row r="30" spans="2:35" x14ac:dyDescent="0.2">
      <c r="M30" s="308"/>
    </row>
    <row r="31" spans="2:35" x14ac:dyDescent="0.2">
      <c r="M31" s="308"/>
    </row>
    <row r="34" spans="13:17" x14ac:dyDescent="0.2">
      <c r="M34" s="307"/>
    </row>
    <row r="35" spans="13:17" x14ac:dyDescent="0.2">
      <c r="M35" s="307"/>
    </row>
    <row r="37" spans="13:17" x14ac:dyDescent="0.2">
      <c r="N37" s="309"/>
      <c r="O37" s="309"/>
      <c r="Q37" s="309"/>
    </row>
  </sheetData>
  <sheetProtection selectLockedCells="1"/>
  <mergeCells count="12">
    <mergeCell ref="AH23:AI23"/>
    <mergeCell ref="B21:C21"/>
    <mergeCell ref="F8:J8"/>
    <mergeCell ref="M8:Q8"/>
    <mergeCell ref="T8:Z8"/>
    <mergeCell ref="B23:N23"/>
    <mergeCell ref="AA8:AG8"/>
    <mergeCell ref="B9:C9"/>
    <mergeCell ref="G12:J12"/>
    <mergeCell ref="N12:Q12"/>
    <mergeCell ref="U12:Z12"/>
    <mergeCell ref="AB12:AG12"/>
  </mergeCells>
  <conditionalFormatting sqref="Z13">
    <cfRule type="cellIs" dxfId="13" priority="17" operator="notEqual">
      <formula>#REF!</formula>
    </cfRule>
  </conditionalFormatting>
  <conditionalFormatting sqref="F21">
    <cfRule type="cellIs" dxfId="12" priority="5" operator="notEqual">
      <formula>126079</formula>
    </cfRule>
  </conditionalFormatting>
  <conditionalFormatting sqref="U21">
    <cfRule type="cellIs" dxfId="11" priority="3" operator="notEqual">
      <formula>43879+66+19</formula>
    </cfRule>
  </conditionalFormatting>
  <conditionalFormatting sqref="V21">
    <cfRule type="cellIs" dxfId="10" priority="2" operator="notEqual">
      <formula>62866+203+315+200</formula>
    </cfRule>
  </conditionalFormatting>
  <conditionalFormatting sqref="T21">
    <cfRule type="cellIs" dxfId="9" priority="1" operator="notEqual">
      <formula>123366+66+315+19+200</formula>
    </cfRule>
  </conditionalFormatting>
  <pageMargins left="0.70866141732283472" right="0.70866141732283472" top="0.78740157480314965" bottom="0.78740157480314965" header="0.31496062992125984" footer="0.31496062992125984"/>
  <pageSetup paperSize="9" scale="48"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39"/>
  <sheetViews>
    <sheetView showGridLines="0" zoomScaleNormal="100" workbookViewId="0">
      <selection activeCell="A26" sqref="A26:XFD39"/>
    </sheetView>
  </sheetViews>
  <sheetFormatPr defaultRowHeight="12.75" x14ac:dyDescent="0.2"/>
  <cols>
    <col min="1" max="1" width="0.140625" style="39" customWidth="1"/>
    <col min="2" max="2" width="41.85546875" style="39" customWidth="1"/>
    <col min="3" max="10" width="12.7109375" style="39" customWidth="1"/>
    <col min="11" max="11" width="11.7109375" style="39" customWidth="1"/>
    <col min="12" max="14" width="12.7109375" style="39" hidden="1" customWidth="1"/>
    <col min="15" max="16" width="12.7109375" style="39" customWidth="1"/>
    <col min="17" max="17" width="12.140625" style="39" customWidth="1"/>
    <col min="18" max="16384" width="9.140625" style="39"/>
  </cols>
  <sheetData>
    <row r="1" spans="2:17" x14ac:dyDescent="0.2">
      <c r="F1"/>
      <c r="G1"/>
      <c r="H1" s="663"/>
      <c r="I1" s="663"/>
      <c r="J1" s="664"/>
      <c r="K1" s="660"/>
    </row>
    <row r="2" spans="2:17" ht="23.25" x14ac:dyDescent="0.35">
      <c r="B2" s="203" t="s">
        <v>150</v>
      </c>
      <c r="C2" s="63"/>
      <c r="D2" s="63"/>
      <c r="E2" s="63"/>
      <c r="F2" s="220"/>
      <c r="G2"/>
      <c r="H2" s="663"/>
      <c r="I2" s="663"/>
      <c r="J2" s="665"/>
      <c r="K2" s="660"/>
      <c r="L2" s="63"/>
      <c r="M2" s="62"/>
      <c r="N2" s="61" t="s">
        <v>149</v>
      </c>
      <c r="O2" s="63"/>
      <c r="P2" s="62"/>
      <c r="Q2" s="61" t="s">
        <v>149</v>
      </c>
    </row>
    <row r="3" spans="2:17" s="204" customFormat="1" ht="15" x14ac:dyDescent="0.2">
      <c r="B3" s="202" t="s">
        <v>613</v>
      </c>
      <c r="F3" s="220"/>
      <c r="G3"/>
      <c r="H3"/>
      <c r="I3" s="199"/>
      <c r="J3" s="199"/>
      <c r="K3" s="222"/>
      <c r="L3" s="771"/>
      <c r="M3" s="771"/>
      <c r="N3" s="771"/>
      <c r="O3" s="771"/>
      <c r="P3" s="771"/>
      <c r="Q3" s="771"/>
    </row>
    <row r="4" spans="2:17" s="204" customFormat="1" ht="15" x14ac:dyDescent="0.2">
      <c r="B4" s="202" t="s">
        <v>615</v>
      </c>
      <c r="F4" s="220"/>
      <c r="G4"/>
      <c r="H4"/>
      <c r="I4" s="199"/>
      <c r="J4" s="199"/>
      <c r="K4" s="222"/>
      <c r="L4" s="771"/>
      <c r="M4" s="771"/>
      <c r="N4" s="771"/>
      <c r="O4" s="771"/>
      <c r="P4" s="771"/>
      <c r="Q4" s="771"/>
    </row>
    <row r="5" spans="2:17" ht="13.5" thickBot="1" x14ac:dyDescent="0.25">
      <c r="F5" s="219"/>
      <c r="G5" s="219"/>
      <c r="H5" s="219"/>
      <c r="I5" s="221"/>
      <c r="J5" s="221"/>
      <c r="K5" s="223"/>
      <c r="N5" s="60" t="s">
        <v>5</v>
      </c>
      <c r="Q5" s="466" t="s">
        <v>5</v>
      </c>
    </row>
    <row r="6" spans="2:17" ht="26.1" customHeight="1" x14ac:dyDescent="0.2">
      <c r="B6" s="502"/>
      <c r="C6" s="666" t="s">
        <v>548</v>
      </c>
      <c r="D6" s="667"/>
      <c r="E6" s="667"/>
      <c r="F6" s="666" t="s">
        <v>549</v>
      </c>
      <c r="G6" s="667"/>
      <c r="H6" s="667"/>
      <c r="I6" s="666" t="s">
        <v>558</v>
      </c>
      <c r="J6" s="667"/>
      <c r="K6" s="667"/>
      <c r="L6" s="666" t="s">
        <v>6</v>
      </c>
      <c r="M6" s="667"/>
      <c r="N6" s="668"/>
      <c r="O6" s="666" t="s">
        <v>633</v>
      </c>
      <c r="P6" s="667"/>
      <c r="Q6" s="668"/>
    </row>
    <row r="7" spans="2:17" x14ac:dyDescent="0.2">
      <c r="B7" s="639" t="s">
        <v>66</v>
      </c>
      <c r="C7" s="641" t="s">
        <v>65</v>
      </c>
      <c r="D7" s="637" t="s">
        <v>10</v>
      </c>
      <c r="E7" s="652"/>
      <c r="F7" s="641" t="s">
        <v>65</v>
      </c>
      <c r="G7" s="637" t="s">
        <v>10</v>
      </c>
      <c r="H7" s="652"/>
      <c r="I7" s="641" t="s">
        <v>65</v>
      </c>
      <c r="J7" s="637" t="s">
        <v>10</v>
      </c>
      <c r="K7" s="652"/>
      <c r="L7" s="643" t="s">
        <v>65</v>
      </c>
      <c r="M7" s="637" t="s">
        <v>10</v>
      </c>
      <c r="N7" s="669"/>
      <c r="O7" s="643" t="s">
        <v>65</v>
      </c>
      <c r="P7" s="637" t="s">
        <v>10</v>
      </c>
      <c r="Q7" s="669"/>
    </row>
    <row r="8" spans="2:17" ht="39" thickBot="1" x14ac:dyDescent="0.25">
      <c r="B8" s="640"/>
      <c r="C8" s="642"/>
      <c r="D8" s="503" t="s">
        <v>64</v>
      </c>
      <c r="E8" s="503" t="s">
        <v>63</v>
      </c>
      <c r="F8" s="642"/>
      <c r="G8" s="503" t="s">
        <v>64</v>
      </c>
      <c r="H8" s="503" t="s">
        <v>63</v>
      </c>
      <c r="I8" s="642"/>
      <c r="J8" s="503" t="s">
        <v>64</v>
      </c>
      <c r="K8" s="503" t="s">
        <v>63</v>
      </c>
      <c r="L8" s="644"/>
      <c r="M8" s="504" t="s">
        <v>64</v>
      </c>
      <c r="N8" s="505" t="s">
        <v>63</v>
      </c>
      <c r="O8" s="644"/>
      <c r="P8" s="504" t="s">
        <v>64</v>
      </c>
      <c r="Q8" s="505" t="s">
        <v>63</v>
      </c>
    </row>
    <row r="9" spans="2:17" ht="14.25" thickTop="1" thickBot="1" x14ac:dyDescent="0.25">
      <c r="B9" s="473"/>
      <c r="C9" s="474" t="s">
        <v>62</v>
      </c>
      <c r="D9" s="475" t="s">
        <v>61</v>
      </c>
      <c r="E9" s="475" t="s">
        <v>60</v>
      </c>
      <c r="F9" s="474" t="s">
        <v>59</v>
      </c>
      <c r="G9" s="475" t="s">
        <v>58</v>
      </c>
      <c r="H9" s="475" t="s">
        <v>57</v>
      </c>
      <c r="I9" s="474" t="s">
        <v>56</v>
      </c>
      <c r="J9" s="475" t="s">
        <v>55</v>
      </c>
      <c r="K9" s="475" t="s">
        <v>54</v>
      </c>
      <c r="L9" s="474" t="s">
        <v>53</v>
      </c>
      <c r="M9" s="475" t="s">
        <v>52</v>
      </c>
      <c r="N9" s="506" t="s">
        <v>51</v>
      </c>
      <c r="O9" s="474" t="s">
        <v>634</v>
      </c>
      <c r="P9" s="475" t="s">
        <v>635</v>
      </c>
      <c r="Q9" s="506" t="s">
        <v>636</v>
      </c>
    </row>
    <row r="10" spans="2:17" ht="15.95" customHeight="1" x14ac:dyDescent="0.25">
      <c r="B10" s="80" t="s">
        <v>50</v>
      </c>
      <c r="C10" s="81">
        <f>D10+E10</f>
        <v>225859</v>
      </c>
      <c r="D10" s="82">
        <f>SUM(D12:D14)</f>
        <v>225859</v>
      </c>
      <c r="E10" s="82">
        <f>SUM(E12:E14)</f>
        <v>0</v>
      </c>
      <c r="F10" s="81">
        <f>G10+H10</f>
        <v>248559</v>
      </c>
      <c r="G10" s="82">
        <f>SUM(G12:G14)</f>
        <v>248559</v>
      </c>
      <c r="H10" s="82">
        <f>SUM(H12:H14)</f>
        <v>0</v>
      </c>
      <c r="I10" s="81">
        <f>J10+K10</f>
        <v>216578</v>
      </c>
      <c r="J10" s="82">
        <f>SUM(J12:J14)</f>
        <v>216578</v>
      </c>
      <c r="K10" s="82">
        <f>SUM(K12:K14)</f>
        <v>0</v>
      </c>
      <c r="L10" s="81">
        <f>M10+N10</f>
        <v>-9281</v>
      </c>
      <c r="M10" s="130">
        <f>J10-D10</f>
        <v>-9281</v>
      </c>
      <c r="N10" s="131">
        <f>K10-E10</f>
        <v>0</v>
      </c>
      <c r="O10" s="568">
        <f>IF(I10=0," ",(IF(C10=0," ",I10/C10*100)))</f>
        <v>95.890799126888908</v>
      </c>
      <c r="P10" s="604">
        <f t="shared" ref="P10:Q10" si="0">IF(J10=0," ",(IF(D10=0," ",J10/D10*100)))</f>
        <v>95.890799126888908</v>
      </c>
      <c r="Q10" s="605" t="str">
        <f t="shared" si="0"/>
        <v xml:space="preserve"> </v>
      </c>
    </row>
    <row r="11" spans="2:17" x14ac:dyDescent="0.2">
      <c r="B11" s="56" t="s">
        <v>49</v>
      </c>
      <c r="C11" s="45"/>
      <c r="D11" s="44"/>
      <c r="E11" s="44"/>
      <c r="F11" s="45"/>
      <c r="G11" s="44"/>
      <c r="H11" s="44"/>
      <c r="I11" s="45"/>
      <c r="J11" s="44"/>
      <c r="K11" s="44"/>
      <c r="L11" s="45"/>
      <c r="M11" s="44"/>
      <c r="N11" s="43"/>
      <c r="O11" s="589" t="str">
        <f t="shared" ref="O11:O20" si="1">IF(I11=0," ",(IF(C11=0," ",I11/C11*100)))</f>
        <v xml:space="preserve"> </v>
      </c>
      <c r="P11" s="590" t="str">
        <f t="shared" ref="P11:P20" si="2">IF(J11=0," ",(IF(D11=0," ",J11/D11*100)))</f>
        <v xml:space="preserve"> </v>
      </c>
      <c r="Q11" s="591" t="str">
        <f t="shared" ref="Q11:Q20" si="3">IF(K11=0," ",(IF(E11=0," ",K11/E11*100)))</f>
        <v xml:space="preserve"> </v>
      </c>
    </row>
    <row r="12" spans="2:17" ht="15.95" customHeight="1" x14ac:dyDescent="0.2">
      <c r="B12" s="56" t="s">
        <v>598</v>
      </c>
      <c r="C12" s="54">
        <f>D12+E12</f>
        <v>172000</v>
      </c>
      <c r="D12" s="55">
        <f>'PO - zdravotnictví'!G19-'PO - zdravotnictví'!G13</f>
        <v>172000</v>
      </c>
      <c r="E12" s="55">
        <v>0</v>
      </c>
      <c r="F12" s="54">
        <f>G12+H12</f>
        <v>194700</v>
      </c>
      <c r="G12" s="55">
        <f>'PO - zdravotnictví'!M19-'PO - zdravotnictví'!M13</f>
        <v>194700</v>
      </c>
      <c r="H12" s="55">
        <v>0</v>
      </c>
      <c r="I12" s="54">
        <f>J12+K12</f>
        <v>163410</v>
      </c>
      <c r="J12" s="55">
        <f>'PO - zdravotnictví'!S19-'PO - zdravotnictví'!S13</f>
        <v>163410</v>
      </c>
      <c r="K12" s="55">
        <v>0</v>
      </c>
      <c r="L12" s="54">
        <f>M12+N12</f>
        <v>-8590</v>
      </c>
      <c r="M12" s="55">
        <f t="shared" ref="M12:N15" si="4">J12-D12</f>
        <v>-8590</v>
      </c>
      <c r="N12" s="43">
        <f t="shared" si="4"/>
        <v>0</v>
      </c>
      <c r="O12" s="592">
        <f t="shared" si="1"/>
        <v>95.005813953488371</v>
      </c>
      <c r="P12" s="606">
        <f t="shared" si="2"/>
        <v>95.005813953488371</v>
      </c>
      <c r="Q12" s="591" t="str">
        <f t="shared" si="3"/>
        <v xml:space="preserve"> </v>
      </c>
    </row>
    <row r="13" spans="2:17" ht="15.95" customHeight="1" x14ac:dyDescent="0.2">
      <c r="B13" s="56" t="s">
        <v>47</v>
      </c>
      <c r="C13" s="54">
        <f>D13+E13</f>
        <v>34200</v>
      </c>
      <c r="D13" s="55">
        <f>'PO - zdravotnictví'!H19-'PO - zdravotnictví'!H13</f>
        <v>34200</v>
      </c>
      <c r="E13" s="55">
        <v>0</v>
      </c>
      <c r="F13" s="54">
        <f>G13+H13</f>
        <v>34200</v>
      </c>
      <c r="G13" s="55">
        <f>'PO - zdravotnictví'!N19-'PO - zdravotnictví'!N13</f>
        <v>34200</v>
      </c>
      <c r="H13" s="55">
        <v>0</v>
      </c>
      <c r="I13" s="54">
        <f>J13+K13</f>
        <v>34200</v>
      </c>
      <c r="J13" s="55">
        <f>'PO - zdravotnictví'!T19-'PO - zdravotnictví'!T13</f>
        <v>34200</v>
      </c>
      <c r="K13" s="55">
        <v>0</v>
      </c>
      <c r="L13" s="54">
        <f>M13+N13</f>
        <v>0</v>
      </c>
      <c r="M13" s="55">
        <f t="shared" si="4"/>
        <v>0</v>
      </c>
      <c r="N13" s="43">
        <f t="shared" si="4"/>
        <v>0</v>
      </c>
      <c r="O13" s="592">
        <f t="shared" si="1"/>
        <v>100</v>
      </c>
      <c r="P13" s="606">
        <f t="shared" si="2"/>
        <v>100</v>
      </c>
      <c r="Q13" s="591" t="str">
        <f t="shared" si="3"/>
        <v xml:space="preserve"> </v>
      </c>
    </row>
    <row r="14" spans="2:17" ht="15.95" customHeight="1" x14ac:dyDescent="0.2">
      <c r="B14" s="56" t="s">
        <v>45</v>
      </c>
      <c r="C14" s="54">
        <f>D14+E14</f>
        <v>19659</v>
      </c>
      <c r="D14" s="55">
        <f>'PO - zdravotnictví'!J19-'PO - zdravotnictví'!J13</f>
        <v>19659</v>
      </c>
      <c r="E14" s="55">
        <v>0</v>
      </c>
      <c r="F14" s="54">
        <f>G14+H14</f>
        <v>19659</v>
      </c>
      <c r="G14" s="55">
        <f>'PO - zdravotnictví'!P19-'PO - zdravotnictví'!P13</f>
        <v>19659</v>
      </c>
      <c r="H14" s="55">
        <v>0</v>
      </c>
      <c r="I14" s="54">
        <f>J14+K14</f>
        <v>18968</v>
      </c>
      <c r="J14" s="55">
        <f>'PO - zdravotnictví'!V19-'PO - zdravotnictví'!V13</f>
        <v>18968</v>
      </c>
      <c r="K14" s="55">
        <v>0</v>
      </c>
      <c r="L14" s="54">
        <f>M14+N14</f>
        <v>-691</v>
      </c>
      <c r="M14" s="55">
        <f t="shared" si="4"/>
        <v>-691</v>
      </c>
      <c r="N14" s="43">
        <f t="shared" si="4"/>
        <v>0</v>
      </c>
      <c r="O14" s="592">
        <f t="shared" si="1"/>
        <v>96.48507045119284</v>
      </c>
      <c r="P14" s="606">
        <f t="shared" si="2"/>
        <v>96.48507045119284</v>
      </c>
      <c r="Q14" s="591" t="str">
        <f t="shared" si="3"/>
        <v xml:space="preserve"> </v>
      </c>
    </row>
    <row r="15" spans="2:17" s="133" customFormat="1" ht="15.95" customHeight="1" x14ac:dyDescent="0.25">
      <c r="B15" s="85" t="s">
        <v>44</v>
      </c>
      <c r="C15" s="86">
        <f>D15+E15</f>
        <v>1000</v>
      </c>
      <c r="D15" s="87">
        <f>'PO - zdravotnictví'!F13</f>
        <v>1000</v>
      </c>
      <c r="E15" s="87">
        <v>0</v>
      </c>
      <c r="F15" s="86">
        <f>G15+H15</f>
        <v>816</v>
      </c>
      <c r="G15" s="87">
        <f>'PO - zdravotnictví'!M13</f>
        <v>816</v>
      </c>
      <c r="H15" s="87">
        <v>0</v>
      </c>
      <c r="I15" s="86">
        <f>J15+K15</f>
        <v>940</v>
      </c>
      <c r="J15" s="87">
        <f>'PO - zdravotnictví'!S13</f>
        <v>940</v>
      </c>
      <c r="K15" s="87">
        <v>0</v>
      </c>
      <c r="L15" s="86">
        <f>M15+N15</f>
        <v>-60</v>
      </c>
      <c r="M15" s="87">
        <f t="shared" si="4"/>
        <v>-60</v>
      </c>
      <c r="N15" s="88">
        <f t="shared" si="4"/>
        <v>0</v>
      </c>
      <c r="O15" s="594">
        <f t="shared" si="1"/>
        <v>94</v>
      </c>
      <c r="P15" s="595">
        <f t="shared" si="2"/>
        <v>94</v>
      </c>
      <c r="Q15" s="596" t="str">
        <f t="shared" si="3"/>
        <v xml:space="preserve"> </v>
      </c>
    </row>
    <row r="16" spans="2:17" s="132" customFormat="1" ht="15.95" customHeight="1" thickBot="1" x14ac:dyDescent="0.3">
      <c r="B16" s="134" t="s">
        <v>41</v>
      </c>
      <c r="C16" s="52">
        <f>D16+E16</f>
        <v>226859</v>
      </c>
      <c r="D16" s="123">
        <f>D15+D10</f>
        <v>226859</v>
      </c>
      <c r="E16" s="123">
        <f>E15+E10</f>
        <v>0</v>
      </c>
      <c r="F16" s="52">
        <f>G16+H16</f>
        <v>249375</v>
      </c>
      <c r="G16" s="123">
        <f>G15+G10</f>
        <v>249375</v>
      </c>
      <c r="H16" s="123">
        <f>H15+H10</f>
        <v>0</v>
      </c>
      <c r="I16" s="52">
        <f>J16+K16</f>
        <v>217518</v>
      </c>
      <c r="J16" s="123">
        <f>J15+J10</f>
        <v>217518</v>
      </c>
      <c r="K16" s="123">
        <f>K15+K10</f>
        <v>0</v>
      </c>
      <c r="L16" s="52">
        <f>M16+N16</f>
        <v>-9341</v>
      </c>
      <c r="M16" s="123">
        <f>M15+M10</f>
        <v>-9341</v>
      </c>
      <c r="N16" s="135">
        <f>N15+N10</f>
        <v>0</v>
      </c>
      <c r="O16" s="553">
        <f t="shared" si="1"/>
        <v>95.882464438263412</v>
      </c>
      <c r="P16" s="607">
        <f t="shared" si="2"/>
        <v>95.882464438263412</v>
      </c>
      <c r="Q16" s="608" t="str">
        <f t="shared" si="3"/>
        <v xml:space="preserve"> </v>
      </c>
    </row>
    <row r="17" spans="1:31" x14ac:dyDescent="0.2">
      <c r="B17" s="46"/>
      <c r="C17" s="45"/>
      <c r="D17" s="44"/>
      <c r="E17" s="44"/>
      <c r="F17" s="45"/>
      <c r="G17" s="44"/>
      <c r="H17" s="44"/>
      <c r="I17" s="45"/>
      <c r="J17" s="44"/>
      <c r="K17" s="44"/>
      <c r="L17" s="45"/>
      <c r="M17" s="44"/>
      <c r="N17" s="43"/>
      <c r="O17" s="589" t="str">
        <f t="shared" si="1"/>
        <v xml:space="preserve"> </v>
      </c>
      <c r="P17" s="590" t="str">
        <f t="shared" si="2"/>
        <v xml:space="preserve"> </v>
      </c>
      <c r="Q17" s="591" t="str">
        <f t="shared" si="3"/>
        <v xml:space="preserve"> </v>
      </c>
    </row>
    <row r="18" spans="1:31" ht="15.95" customHeight="1" x14ac:dyDescent="0.25">
      <c r="B18" s="226" t="s">
        <v>42</v>
      </c>
      <c r="C18" s="49">
        <f>D18+E18</f>
        <v>8054</v>
      </c>
      <c r="D18" s="50">
        <f>'PO - zdravotnictví'!I19-'PO - zdravotnictví'!I13</f>
        <v>2698</v>
      </c>
      <c r="E18" s="50">
        <f>'PO - zdravotnictví'!K19</f>
        <v>5356</v>
      </c>
      <c r="F18" s="49">
        <f>G18+H18</f>
        <v>8054</v>
      </c>
      <c r="G18" s="50">
        <f>'PO - zdravotnictví'!O19</f>
        <v>2698</v>
      </c>
      <c r="H18" s="50">
        <f>'PO - zdravotnictví'!Q19</f>
        <v>5356</v>
      </c>
      <c r="I18" s="49">
        <f>J18+K18</f>
        <v>8144</v>
      </c>
      <c r="J18" s="50">
        <f>'PO - zdravotnictví'!U19-'PO - zdravotnictví'!U13</f>
        <v>2788</v>
      </c>
      <c r="K18" s="50">
        <f>'PO - zdravotnictví'!W19</f>
        <v>5356</v>
      </c>
      <c r="L18" s="49">
        <f>M18+N18</f>
        <v>90</v>
      </c>
      <c r="M18" s="48">
        <f>J18-D18</f>
        <v>90</v>
      </c>
      <c r="N18" s="47">
        <f>K18-E18</f>
        <v>0</v>
      </c>
      <c r="O18" s="569">
        <f t="shared" si="1"/>
        <v>101.11745716414204</v>
      </c>
      <c r="P18" s="599">
        <f t="shared" si="2"/>
        <v>103.33580429948111</v>
      </c>
      <c r="Q18" s="600">
        <f t="shared" si="3"/>
        <v>100</v>
      </c>
    </row>
    <row r="19" spans="1:31" ht="13.5" thickBot="1" x14ac:dyDescent="0.25">
      <c r="B19" s="46"/>
      <c r="C19" s="45"/>
      <c r="D19" s="44"/>
      <c r="E19" s="44"/>
      <c r="F19" s="45"/>
      <c r="G19" s="44"/>
      <c r="H19" s="44"/>
      <c r="I19" s="45"/>
      <c r="J19" s="44"/>
      <c r="K19" s="44"/>
      <c r="L19" s="45"/>
      <c r="M19" s="44"/>
      <c r="N19" s="43"/>
      <c r="O19" s="589" t="str">
        <f t="shared" si="1"/>
        <v xml:space="preserve"> </v>
      </c>
      <c r="P19" s="590" t="str">
        <f t="shared" si="2"/>
        <v xml:space="preserve"> </v>
      </c>
      <c r="Q19" s="591" t="str">
        <f t="shared" si="3"/>
        <v xml:space="preserve"> </v>
      </c>
    </row>
    <row r="20" spans="1:31" s="140" customFormat="1" ht="15.95" customHeight="1" thickBot="1" x14ac:dyDescent="0.3">
      <c r="B20" s="136" t="s">
        <v>41</v>
      </c>
      <c r="C20" s="137">
        <f t="shared" ref="C20:N20" si="5">C18+C16</f>
        <v>234913</v>
      </c>
      <c r="D20" s="138">
        <f t="shared" si="5"/>
        <v>229557</v>
      </c>
      <c r="E20" s="138">
        <f>E18+E16</f>
        <v>5356</v>
      </c>
      <c r="F20" s="137">
        <f t="shared" si="5"/>
        <v>257429</v>
      </c>
      <c r="G20" s="138">
        <f t="shared" si="5"/>
        <v>252073</v>
      </c>
      <c r="H20" s="138">
        <f>H18+H16</f>
        <v>5356</v>
      </c>
      <c r="I20" s="137">
        <f t="shared" si="5"/>
        <v>225662</v>
      </c>
      <c r="J20" s="138">
        <f t="shared" si="5"/>
        <v>220306</v>
      </c>
      <c r="K20" s="138">
        <f t="shared" si="5"/>
        <v>5356</v>
      </c>
      <c r="L20" s="137">
        <f t="shared" si="5"/>
        <v>-9251</v>
      </c>
      <c r="M20" s="138">
        <f t="shared" si="5"/>
        <v>-9251</v>
      </c>
      <c r="N20" s="139">
        <f t="shared" si="5"/>
        <v>0</v>
      </c>
      <c r="O20" s="609">
        <f t="shared" si="1"/>
        <v>96.061946337580295</v>
      </c>
      <c r="P20" s="610">
        <f t="shared" si="2"/>
        <v>95.970064079945288</v>
      </c>
      <c r="Q20" s="611">
        <f t="shared" si="3"/>
        <v>100</v>
      </c>
    </row>
    <row r="21" spans="1:31" ht="15" hidden="1" x14ac:dyDescent="0.25">
      <c r="C21" s="451"/>
      <c r="D21" s="452"/>
      <c r="E21" s="451" t="s">
        <v>603</v>
      </c>
      <c r="F21" s="451"/>
      <c r="G21" s="452"/>
      <c r="H21" s="452"/>
      <c r="I21" s="451">
        <v>225662</v>
      </c>
    </row>
    <row r="22" spans="1:31" ht="15.75" hidden="1" thickBot="1" x14ac:dyDescent="0.3">
      <c r="C22" s="453"/>
      <c r="D22" s="454"/>
      <c r="E22" s="453"/>
      <c r="F22" s="453" t="s">
        <v>604</v>
      </c>
      <c r="G22" s="454"/>
      <c r="H22" s="454"/>
      <c r="I22" s="453">
        <f>-I21+I20</f>
        <v>0</v>
      </c>
    </row>
    <row r="23" spans="1:31" hidden="1" x14ac:dyDescent="0.2"/>
    <row r="24" spans="1:31" customFormat="1" ht="15" hidden="1" x14ac:dyDescent="0.2">
      <c r="B24" s="418" t="s">
        <v>596</v>
      </c>
    </row>
    <row r="25" spans="1:31" customFormat="1" ht="15" x14ac:dyDescent="0.2">
      <c r="B25" s="418"/>
    </row>
    <row r="26" spans="1:31" s="177" customFormat="1" ht="16.5" customHeight="1" x14ac:dyDescent="0.25">
      <c r="A26" s="169" t="s">
        <v>193</v>
      </c>
      <c r="B26" s="170"/>
      <c r="C26" s="171"/>
      <c r="D26" s="172"/>
      <c r="E26" s="171"/>
      <c r="F26" s="172"/>
      <c r="G26" s="171"/>
      <c r="H26" s="172"/>
      <c r="I26" s="172"/>
      <c r="J26" s="172"/>
      <c r="K26" s="170"/>
      <c r="L26" s="173"/>
      <c r="M26" s="174"/>
      <c r="N26" s="173"/>
      <c r="O26" s="173"/>
      <c r="P26" s="174"/>
      <c r="Q26" s="173"/>
      <c r="R26" s="175"/>
      <c r="S26" s="175"/>
      <c r="T26" s="175"/>
      <c r="U26" s="175"/>
      <c r="V26" s="175"/>
      <c r="W26" s="176"/>
      <c r="X26" s="176"/>
      <c r="Y26" s="176"/>
      <c r="Z26" s="176"/>
      <c r="AA26" s="176"/>
      <c r="AB26" s="176"/>
      <c r="AC26" s="176"/>
      <c r="AD26" s="176"/>
      <c r="AE26" s="176"/>
    </row>
    <row r="27" spans="1:31" s="177" customFormat="1" ht="14.25" customHeight="1" x14ac:dyDescent="0.25">
      <c r="A27" s="178" t="s">
        <v>194</v>
      </c>
      <c r="B27" s="154" t="s">
        <v>12</v>
      </c>
      <c r="C27" s="156"/>
      <c r="D27" s="156"/>
      <c r="E27" s="156"/>
      <c r="F27" s="156"/>
      <c r="G27" s="156"/>
      <c r="H27" s="156"/>
      <c r="I27" s="156"/>
      <c r="J27" s="156"/>
      <c r="K27" s="156"/>
      <c r="L27" s="156"/>
      <c r="M27" s="179"/>
      <c r="N27" s="180"/>
      <c r="O27" s="156"/>
      <c r="P27" s="179"/>
      <c r="Q27" s="180"/>
      <c r="R27" s="176"/>
      <c r="S27" s="176"/>
      <c r="T27" s="176"/>
      <c r="U27" s="176"/>
      <c r="V27" s="176"/>
      <c r="W27" s="176"/>
      <c r="X27" s="176"/>
      <c r="Y27" s="176"/>
      <c r="Z27" s="176"/>
      <c r="AA27" s="176"/>
      <c r="AB27" s="176"/>
      <c r="AC27" s="176"/>
      <c r="AD27" s="176"/>
      <c r="AE27" s="176"/>
    </row>
    <row r="28" spans="1:31" s="177" customFormat="1" ht="12.75" customHeight="1" x14ac:dyDescent="0.2">
      <c r="A28" s="182"/>
      <c r="B28" s="760" t="s">
        <v>632</v>
      </c>
      <c r="C28" s="757"/>
      <c r="D28" s="757"/>
      <c r="E28" s="757"/>
      <c r="F28" s="757"/>
      <c r="G28" s="757"/>
      <c r="H28" s="757"/>
      <c r="I28" s="757"/>
      <c r="J28" s="757"/>
      <c r="K28" s="757"/>
      <c r="L28" s="757"/>
      <c r="M28" s="757"/>
      <c r="N28" s="757"/>
      <c r="O28" s="757"/>
      <c r="P28" s="757"/>
      <c r="Q28" s="757"/>
      <c r="R28" s="176"/>
      <c r="S28" s="176"/>
      <c r="T28" s="176"/>
      <c r="U28" s="176"/>
      <c r="V28" s="176"/>
      <c r="W28" s="176"/>
      <c r="X28" s="176"/>
      <c r="Y28" s="176"/>
      <c r="Z28" s="176"/>
      <c r="AA28" s="176"/>
      <c r="AB28" s="176"/>
      <c r="AC28" s="176"/>
      <c r="AD28" s="176"/>
      <c r="AE28" s="176"/>
    </row>
    <row r="29" spans="1:31" s="177" customFormat="1" ht="14.25" customHeight="1" x14ac:dyDescent="0.2">
      <c r="A29" s="182"/>
      <c r="B29" s="757"/>
      <c r="C29" s="757"/>
      <c r="D29" s="757"/>
      <c r="E29" s="757"/>
      <c r="F29" s="757"/>
      <c r="G29" s="757"/>
      <c r="H29" s="757"/>
      <c r="I29" s="757"/>
      <c r="J29" s="757"/>
      <c r="K29" s="757"/>
      <c r="L29" s="757"/>
      <c r="M29" s="757"/>
      <c r="N29" s="757"/>
      <c r="O29" s="757"/>
      <c r="P29" s="757"/>
      <c r="Q29" s="757"/>
      <c r="R29" s="176"/>
      <c r="S29" s="176"/>
      <c r="T29" s="176"/>
      <c r="U29" s="176"/>
      <c r="V29" s="176"/>
      <c r="W29" s="176"/>
      <c r="X29" s="176"/>
      <c r="Y29" s="176"/>
      <c r="Z29" s="176"/>
      <c r="AA29" s="176"/>
      <c r="AB29" s="176"/>
      <c r="AC29" s="176"/>
      <c r="AD29" s="176"/>
      <c r="AE29" s="176"/>
    </row>
    <row r="30" spans="1:31" s="184" customFormat="1" ht="15.75" x14ac:dyDescent="0.25">
      <c r="A30" s="178" t="s">
        <v>195</v>
      </c>
      <c r="B30" s="195" t="s">
        <v>438</v>
      </c>
      <c r="C30" s="176"/>
      <c r="D30" s="176"/>
      <c r="E30" s="176"/>
      <c r="F30" s="176"/>
      <c r="G30" s="176"/>
      <c r="H30" s="176"/>
      <c r="I30" s="176"/>
      <c r="J30" s="176"/>
      <c r="K30" s="176"/>
      <c r="L30" s="176"/>
      <c r="M30" s="176"/>
      <c r="N30" s="176"/>
      <c r="O30" s="176"/>
      <c r="P30" s="176"/>
      <c r="Q30" s="176"/>
      <c r="R30" s="183"/>
      <c r="S30" s="183"/>
      <c r="T30" s="183"/>
      <c r="U30" s="183"/>
      <c r="V30" s="183"/>
      <c r="W30" s="183"/>
      <c r="X30" s="183"/>
      <c r="Y30" s="183"/>
      <c r="Z30" s="183"/>
      <c r="AA30" s="183"/>
      <c r="AB30" s="183"/>
      <c r="AC30" s="183"/>
      <c r="AD30" s="183"/>
      <c r="AE30" s="183"/>
    </row>
    <row r="31" spans="1:31" s="184" customFormat="1" ht="16.5" customHeight="1" x14ac:dyDescent="0.2">
      <c r="B31" s="772" t="s">
        <v>581</v>
      </c>
      <c r="C31" s="757"/>
      <c r="D31" s="757"/>
      <c r="E31" s="757"/>
      <c r="F31" s="757"/>
      <c r="G31" s="757"/>
      <c r="H31" s="757"/>
      <c r="I31" s="757"/>
      <c r="J31" s="757"/>
      <c r="K31" s="757"/>
      <c r="L31" s="757"/>
      <c r="M31" s="757"/>
      <c r="N31" s="757"/>
      <c r="O31" s="757"/>
      <c r="P31" s="757"/>
      <c r="Q31" s="757"/>
      <c r="R31" s="183"/>
      <c r="S31" s="183"/>
      <c r="T31" s="183"/>
      <c r="U31" s="183"/>
      <c r="V31" s="183"/>
      <c r="W31" s="183"/>
      <c r="X31" s="183"/>
      <c r="Y31" s="183"/>
      <c r="Z31" s="183"/>
      <c r="AA31" s="183"/>
      <c r="AB31" s="183"/>
      <c r="AC31" s="183"/>
      <c r="AD31" s="183"/>
      <c r="AE31" s="183"/>
    </row>
    <row r="32" spans="1:31" s="184" customFormat="1" ht="16.5" customHeight="1" x14ac:dyDescent="0.2">
      <c r="A32" s="185"/>
      <c r="B32" s="757"/>
      <c r="C32" s="757"/>
      <c r="D32" s="757"/>
      <c r="E32" s="757"/>
      <c r="F32" s="757"/>
      <c r="G32" s="757"/>
      <c r="H32" s="757"/>
      <c r="I32" s="757"/>
      <c r="J32" s="757"/>
      <c r="K32" s="757"/>
      <c r="L32" s="757"/>
      <c r="M32" s="757"/>
      <c r="N32" s="757"/>
      <c r="O32" s="757"/>
      <c r="P32" s="757"/>
      <c r="Q32" s="757"/>
      <c r="R32" s="183"/>
      <c r="S32" s="183"/>
      <c r="T32" s="183"/>
      <c r="U32" s="183"/>
      <c r="V32" s="183"/>
      <c r="W32" s="183"/>
      <c r="X32" s="183"/>
      <c r="Y32" s="183"/>
      <c r="Z32" s="183"/>
      <c r="AA32" s="183"/>
      <c r="AB32" s="183"/>
      <c r="AC32" s="183"/>
      <c r="AD32" s="183"/>
      <c r="AE32" s="183"/>
    </row>
    <row r="33" spans="1:31" s="184" customFormat="1" ht="6" customHeight="1" x14ac:dyDescent="0.2">
      <c r="A33" s="185"/>
      <c r="B33" s="182"/>
      <c r="C33" s="182"/>
      <c r="D33" s="182"/>
      <c r="E33" s="182"/>
      <c r="F33" s="182"/>
      <c r="G33" s="182"/>
      <c r="H33" s="182"/>
      <c r="I33" s="182"/>
      <c r="J33" s="182"/>
      <c r="K33" s="182"/>
      <c r="L33" s="182"/>
      <c r="M33" s="182"/>
      <c r="N33" s="182"/>
      <c r="O33" s="182"/>
      <c r="P33" s="182"/>
      <c r="Q33" s="182"/>
      <c r="R33" s="183"/>
      <c r="S33" s="183"/>
      <c r="T33" s="183"/>
      <c r="U33" s="183"/>
      <c r="V33" s="183"/>
      <c r="W33" s="183"/>
      <c r="X33" s="183"/>
      <c r="Y33" s="183"/>
      <c r="Z33" s="183"/>
      <c r="AA33" s="183"/>
      <c r="AB33" s="183"/>
      <c r="AC33" s="183"/>
      <c r="AD33" s="183"/>
      <c r="AE33" s="183"/>
    </row>
    <row r="34" spans="1:31" s="167" customFormat="1" ht="15.75" customHeight="1" x14ac:dyDescent="0.2">
      <c r="A34" s="164" t="s">
        <v>191</v>
      </c>
      <c r="B34" s="225" t="s">
        <v>199</v>
      </c>
      <c r="C34" s="165"/>
      <c r="D34" s="165"/>
      <c r="E34" s="166"/>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row>
    <row r="35" spans="1:31" customFormat="1" ht="15" customHeight="1" x14ac:dyDescent="0.2">
      <c r="A35" s="164"/>
      <c r="B35" s="755" t="s">
        <v>192</v>
      </c>
      <c r="C35" s="675"/>
      <c r="D35" s="675"/>
      <c r="E35" s="675"/>
      <c r="F35" s="675"/>
      <c r="G35" s="168"/>
      <c r="H35" s="168"/>
      <c r="I35" s="168"/>
      <c r="J35" s="168"/>
      <c r="K35" s="168"/>
      <c r="L35" s="168"/>
      <c r="M35" s="168"/>
      <c r="N35" s="168"/>
      <c r="O35" s="168"/>
      <c r="P35" s="168"/>
      <c r="Q35" s="168"/>
      <c r="R35" s="156"/>
      <c r="S35" s="156"/>
      <c r="T35" s="156"/>
      <c r="U35" s="156"/>
      <c r="V35" s="156"/>
      <c r="W35" s="156"/>
      <c r="X35" s="156"/>
      <c r="Y35" s="156"/>
      <c r="Z35" s="156"/>
      <c r="AA35" s="156"/>
      <c r="AB35" s="156"/>
      <c r="AC35" s="156"/>
      <c r="AD35" s="156"/>
      <c r="AE35" s="156"/>
    </row>
    <row r="36" spans="1:31" customFormat="1" ht="12.75" customHeight="1" x14ac:dyDescent="0.2">
      <c r="A36" s="161"/>
      <c r="B36" s="168"/>
      <c r="C36" s="168"/>
      <c r="D36" s="168"/>
      <c r="E36" s="168"/>
      <c r="F36" s="168"/>
      <c r="G36" s="168"/>
      <c r="H36" s="168"/>
      <c r="I36" s="168"/>
      <c r="J36" s="168"/>
      <c r="K36" s="168"/>
      <c r="L36" s="168"/>
      <c r="M36" s="168"/>
      <c r="N36" s="168"/>
      <c r="O36" s="168"/>
      <c r="P36" s="168"/>
      <c r="Q36" s="168"/>
      <c r="R36" s="156"/>
      <c r="S36" s="156"/>
      <c r="T36" s="156"/>
      <c r="U36" s="156"/>
      <c r="V36" s="156"/>
      <c r="W36" s="156"/>
      <c r="X36" s="156"/>
      <c r="Y36" s="156"/>
      <c r="Z36" s="156"/>
      <c r="AA36" s="156"/>
      <c r="AB36" s="156"/>
      <c r="AC36" s="156"/>
      <c r="AD36" s="156"/>
      <c r="AE36" s="156"/>
    </row>
    <row r="37" spans="1:31" s="177" customFormat="1" ht="15.75" x14ac:dyDescent="0.25">
      <c r="A37" s="178" t="s">
        <v>196</v>
      </c>
      <c r="B37" s="154" t="s">
        <v>197</v>
      </c>
      <c r="C37" s="156"/>
      <c r="D37" s="156"/>
      <c r="E37" s="156"/>
      <c r="F37" s="156"/>
      <c r="G37" s="156"/>
      <c r="H37" s="156"/>
      <c r="I37" s="156"/>
      <c r="J37" s="156"/>
      <c r="K37" s="156"/>
      <c r="L37" s="156"/>
      <c r="M37" s="156"/>
      <c r="N37" s="156"/>
      <c r="O37" s="156"/>
      <c r="P37" s="156"/>
      <c r="Q37" s="156"/>
      <c r="R37" s="176"/>
      <c r="S37" s="176"/>
      <c r="T37" s="176"/>
      <c r="U37" s="176"/>
      <c r="V37" s="176"/>
      <c r="W37" s="176"/>
      <c r="X37" s="176"/>
      <c r="Y37" s="176"/>
      <c r="Z37" s="176"/>
      <c r="AA37" s="176"/>
      <c r="AB37" s="176"/>
      <c r="AC37" s="176"/>
      <c r="AD37" s="176"/>
      <c r="AE37" s="176"/>
    </row>
    <row r="38" spans="1:31" s="187" customFormat="1" ht="14.25" x14ac:dyDescent="0.2">
      <c r="A38" s="176"/>
      <c r="B38" s="186" t="s">
        <v>557</v>
      </c>
      <c r="C38" s="171"/>
      <c r="D38" s="171"/>
      <c r="E38" s="171"/>
      <c r="F38" s="171"/>
      <c r="G38" s="171"/>
      <c r="H38" s="171"/>
      <c r="I38" s="171"/>
      <c r="J38" s="171"/>
      <c r="K38" s="171"/>
      <c r="L38" s="171"/>
      <c r="M38" s="171"/>
      <c r="N38" s="171"/>
      <c r="O38" s="171"/>
      <c r="P38" s="171"/>
      <c r="Q38" s="171"/>
      <c r="R38" s="176"/>
      <c r="S38" s="175"/>
      <c r="T38" s="175"/>
      <c r="U38" s="175"/>
      <c r="V38" s="175"/>
      <c r="W38" s="175"/>
      <c r="X38" s="175"/>
      <c r="Y38" s="175"/>
      <c r="Z38" s="175"/>
      <c r="AA38" s="175"/>
      <c r="AB38" s="175"/>
      <c r="AC38" s="175"/>
      <c r="AD38" s="175"/>
      <c r="AE38" s="175"/>
    </row>
    <row r="39" spans="1:31" customForma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row>
  </sheetData>
  <sheetProtection selectLockedCells="1"/>
  <mergeCells count="27">
    <mergeCell ref="H1:H2"/>
    <mergeCell ref="I1:I2"/>
    <mergeCell ref="J1:J2"/>
    <mergeCell ref="K1:K2"/>
    <mergeCell ref="I7:I8"/>
    <mergeCell ref="I6:K6"/>
    <mergeCell ref="J7:K7"/>
    <mergeCell ref="C6:E6"/>
    <mergeCell ref="F6:H6"/>
    <mergeCell ref="L3:N3"/>
    <mergeCell ref="L4:N4"/>
    <mergeCell ref="M7:N7"/>
    <mergeCell ref="L6:N6"/>
    <mergeCell ref="L7:L8"/>
    <mergeCell ref="B35:F35"/>
    <mergeCell ref="D7:E7"/>
    <mergeCell ref="G7:H7"/>
    <mergeCell ref="B28:Q29"/>
    <mergeCell ref="B31:Q32"/>
    <mergeCell ref="B7:B8"/>
    <mergeCell ref="C7:C8"/>
    <mergeCell ref="F7:F8"/>
    <mergeCell ref="O3:Q3"/>
    <mergeCell ref="O4:Q4"/>
    <mergeCell ref="O6:Q6"/>
    <mergeCell ref="O7:O8"/>
    <mergeCell ref="P7:Q7"/>
  </mergeCells>
  <conditionalFormatting sqref="C20">
    <cfRule type="cellIs" dxfId="8" priority="3" operator="notEqual">
      <formula>234913</formula>
    </cfRule>
  </conditionalFormatting>
  <conditionalFormatting sqref="F20">
    <cfRule type="cellIs" dxfId="7" priority="2" operator="notEqual">
      <formula>ROUND($Z$20(268004.12-569.51-11700-1858.43-2339.87-6376.09-9000-2000+$G$20+$G$20),2)</formula>
    </cfRule>
  </conditionalFormatting>
  <conditionalFormatting sqref="I20">
    <cfRule type="cellIs" dxfId="6" priority="1" operator="notEqual">
      <formula>225662</formula>
    </cfRule>
  </conditionalFormatting>
  <pageMargins left="0.70866141732283472" right="0.70866141732283472" top="0.78740157480314965" bottom="0.78740157480314965" header="0.31496062992125984" footer="0.31496062992125984"/>
  <pageSetup paperSize="9" scale="68"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ignoredErrors>
    <ignoredError sqref="H10 K10 E1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2:AK28"/>
  <sheetViews>
    <sheetView showGridLines="0" workbookViewId="0">
      <selection activeCell="E18" sqref="E18"/>
    </sheetView>
  </sheetViews>
  <sheetFormatPr defaultRowHeight="12.75" x14ac:dyDescent="0.2"/>
  <cols>
    <col min="1" max="1" width="2.7109375" style="39" customWidth="1"/>
    <col min="2" max="2" width="14.7109375" style="39" customWidth="1"/>
    <col min="3" max="3" width="4.7109375" style="39" customWidth="1"/>
    <col min="4" max="4" width="10.7109375" style="39" hidden="1" customWidth="1"/>
    <col min="5" max="5" width="47.5703125" style="39" customWidth="1"/>
    <col min="6" max="6" width="12.7109375" style="89" customWidth="1"/>
    <col min="7" max="10" width="9.7109375" style="89" customWidth="1"/>
    <col min="11" max="11" width="11.42578125" style="89" customWidth="1"/>
    <col min="12" max="12" width="12.7109375" style="89" customWidth="1"/>
    <col min="13" max="16" width="9.7109375" style="89" customWidth="1"/>
    <col min="17" max="17" width="10.5703125" style="89" customWidth="1"/>
    <col min="18" max="18" width="12.7109375" style="89" customWidth="1"/>
    <col min="19" max="21" width="9.7109375" style="89" customWidth="1"/>
    <col min="22" max="22" width="10.140625" style="89" customWidth="1"/>
    <col min="23" max="23" width="11.85546875" style="89" customWidth="1"/>
    <col min="24" max="24" width="12.7109375" style="89" hidden="1" customWidth="1"/>
    <col min="25" max="28" width="9.7109375" style="89" hidden="1" customWidth="1"/>
    <col min="29" max="29" width="12.5703125" style="89" hidden="1" customWidth="1"/>
    <col min="30" max="30" width="9.140625" style="89" hidden="1" customWidth="1"/>
    <col min="31" max="32" width="9.140625" style="39" hidden="1" customWidth="1"/>
    <col min="33" max="34" width="9.140625" style="39" customWidth="1"/>
    <col min="35" max="16384" width="9.140625" style="39"/>
  </cols>
  <sheetData>
    <row r="2" spans="2:37" ht="21.75" x14ac:dyDescent="0.3">
      <c r="B2" s="122" t="s">
        <v>150</v>
      </c>
      <c r="C2" s="121"/>
      <c r="D2" s="121"/>
      <c r="E2" s="121"/>
      <c r="F2" s="120"/>
      <c r="G2" s="120"/>
      <c r="H2" s="120"/>
      <c r="I2" s="120"/>
      <c r="J2" s="120"/>
      <c r="K2" s="120"/>
      <c r="L2" s="118"/>
      <c r="M2" s="118"/>
      <c r="N2" s="118"/>
      <c r="O2" s="118"/>
      <c r="P2" s="118"/>
      <c r="Q2" s="118"/>
      <c r="R2" s="118"/>
      <c r="S2" s="118"/>
      <c r="T2" s="118"/>
      <c r="V2" s="118"/>
      <c r="W2" s="118" t="s">
        <v>149</v>
      </c>
      <c r="X2" s="118"/>
      <c r="Y2" s="118"/>
      <c r="Z2" s="119" t="s">
        <v>149</v>
      </c>
      <c r="AA2" s="118"/>
      <c r="AB2" s="118"/>
      <c r="AC2" s="118"/>
    </row>
    <row r="3" spans="2:37" ht="15.75" x14ac:dyDescent="0.25">
      <c r="B3" s="117" t="s">
        <v>2</v>
      </c>
      <c r="C3" s="117" t="s">
        <v>614</v>
      </c>
      <c r="D3" s="116"/>
      <c r="E3" s="115"/>
      <c r="F3" s="114"/>
      <c r="G3" s="114"/>
      <c r="H3" s="114"/>
      <c r="I3" s="114"/>
      <c r="J3" s="114"/>
      <c r="K3" s="114"/>
      <c r="L3" s="113"/>
      <c r="M3" s="113"/>
      <c r="N3" s="113"/>
      <c r="O3" s="113"/>
      <c r="P3" s="113"/>
      <c r="Q3" s="113"/>
      <c r="R3" s="113"/>
      <c r="S3" s="113"/>
      <c r="T3" s="113"/>
      <c r="U3" s="113"/>
      <c r="V3" s="113"/>
      <c r="W3" s="113"/>
      <c r="X3" s="113"/>
      <c r="Y3" s="113"/>
      <c r="Z3" s="113"/>
      <c r="AA3" s="113"/>
      <c r="AB3" s="113"/>
      <c r="AC3" s="113"/>
    </row>
    <row r="4" spans="2:37" ht="15.75" x14ac:dyDescent="0.25">
      <c r="B4" s="116"/>
      <c r="C4" s="117" t="s">
        <v>616</v>
      </c>
      <c r="D4" s="116"/>
      <c r="E4" s="115"/>
      <c r="F4" s="114"/>
      <c r="G4" s="114"/>
      <c r="H4" s="114"/>
      <c r="I4" s="114"/>
      <c r="J4" s="114"/>
      <c r="K4" s="114"/>
      <c r="L4" s="113"/>
      <c r="M4" s="113"/>
      <c r="N4" s="113"/>
      <c r="O4" s="113"/>
      <c r="P4" s="113"/>
      <c r="Q4" s="113"/>
      <c r="R4" s="113"/>
      <c r="S4" s="113"/>
      <c r="T4" s="113"/>
      <c r="U4" s="113"/>
      <c r="V4" s="113"/>
      <c r="W4" s="113"/>
      <c r="X4" s="113"/>
      <c r="Y4" s="113"/>
      <c r="Z4" s="113"/>
      <c r="AA4" s="113"/>
      <c r="AB4" s="113"/>
      <c r="AC4" s="113"/>
    </row>
    <row r="5" spans="2:37" ht="18" x14ac:dyDescent="0.25">
      <c r="B5" s="112"/>
      <c r="C5" s="112"/>
      <c r="D5" s="112"/>
      <c r="E5" s="112"/>
      <c r="F5" s="111"/>
      <c r="G5" s="111"/>
      <c r="H5" s="111"/>
      <c r="I5" s="111"/>
      <c r="J5" s="111"/>
      <c r="K5" s="111"/>
      <c r="L5" s="111"/>
      <c r="M5" s="111"/>
      <c r="N5" s="111"/>
      <c r="O5" s="111"/>
      <c r="P5" s="111"/>
      <c r="Q5" s="111"/>
      <c r="R5" s="111"/>
      <c r="S5" s="111"/>
      <c r="T5" s="111"/>
      <c r="U5" s="111"/>
      <c r="V5" s="111"/>
      <c r="W5" s="111"/>
      <c r="X5" s="111"/>
      <c r="Y5" s="111"/>
      <c r="Z5" s="111"/>
      <c r="AA5" s="111"/>
      <c r="AB5" s="111"/>
      <c r="AC5" s="111"/>
    </row>
    <row r="7" spans="2:37" ht="13.5" thickBot="1" x14ac:dyDescent="0.25">
      <c r="B7" s="110"/>
      <c r="C7" s="110"/>
      <c r="D7" s="110"/>
      <c r="E7" s="110"/>
      <c r="F7" s="109"/>
      <c r="G7" s="109"/>
      <c r="H7" s="109"/>
      <c r="I7" s="109"/>
      <c r="J7" s="109"/>
      <c r="K7" s="109"/>
      <c r="L7" s="109"/>
      <c r="M7" s="109"/>
      <c r="N7" s="109"/>
      <c r="O7" s="109"/>
      <c r="P7" s="109"/>
      <c r="Q7" s="109"/>
      <c r="R7" s="109"/>
      <c r="S7" s="109"/>
      <c r="T7" s="109"/>
      <c r="U7" s="109"/>
      <c r="V7" s="109"/>
      <c r="W7" s="109" t="s">
        <v>5</v>
      </c>
      <c r="X7" s="109"/>
      <c r="Y7" s="109"/>
      <c r="Z7" s="109"/>
      <c r="AA7" s="109"/>
      <c r="AB7" s="109"/>
      <c r="AC7" s="109" t="s">
        <v>5</v>
      </c>
    </row>
    <row r="8" spans="2:37" x14ac:dyDescent="0.2">
      <c r="B8" s="502"/>
      <c r="C8" s="507"/>
      <c r="D8" s="502"/>
      <c r="E8" s="502"/>
      <c r="F8" s="742" t="s">
        <v>548</v>
      </c>
      <c r="G8" s="743"/>
      <c r="H8" s="743"/>
      <c r="I8" s="743"/>
      <c r="J8" s="743"/>
      <c r="K8" s="777"/>
      <c r="L8" s="710" t="s">
        <v>549</v>
      </c>
      <c r="M8" s="711"/>
      <c r="N8" s="711"/>
      <c r="O8" s="711"/>
      <c r="P8" s="711"/>
      <c r="Q8" s="537"/>
      <c r="R8" s="742" t="s">
        <v>558</v>
      </c>
      <c r="S8" s="743"/>
      <c r="T8" s="743"/>
      <c r="U8" s="743"/>
      <c r="V8" s="743"/>
      <c r="W8" s="537"/>
      <c r="X8" s="727" t="s">
        <v>6</v>
      </c>
      <c r="Y8" s="728"/>
      <c r="Z8" s="728"/>
      <c r="AA8" s="728"/>
      <c r="AB8" s="728"/>
      <c r="AC8" s="152"/>
    </row>
    <row r="9" spans="2:37" ht="18" customHeight="1" x14ac:dyDescent="0.2">
      <c r="B9" s="745" t="s">
        <v>7</v>
      </c>
      <c r="C9" s="746"/>
      <c r="D9" s="508" t="s">
        <v>8</v>
      </c>
      <c r="E9" s="509" t="s">
        <v>9</v>
      </c>
      <c r="F9" s="778" t="s">
        <v>11</v>
      </c>
      <c r="G9" s="511" t="s">
        <v>10</v>
      </c>
      <c r="H9" s="510"/>
      <c r="I9" s="510"/>
      <c r="J9" s="510"/>
      <c r="K9" s="780" t="s">
        <v>182</v>
      </c>
      <c r="L9" s="778" t="s">
        <v>11</v>
      </c>
      <c r="M9" s="511" t="s">
        <v>10</v>
      </c>
      <c r="N9" s="510"/>
      <c r="O9" s="510"/>
      <c r="P9" s="510"/>
      <c r="Q9" s="780" t="s">
        <v>182</v>
      </c>
      <c r="R9" s="778" t="s">
        <v>11</v>
      </c>
      <c r="S9" s="511" t="s">
        <v>10</v>
      </c>
      <c r="T9" s="510"/>
      <c r="U9" s="510"/>
      <c r="V9" s="510"/>
      <c r="W9" s="780" t="s">
        <v>182</v>
      </c>
      <c r="X9" s="782" t="s">
        <v>11</v>
      </c>
      <c r="Y9" s="107" t="s">
        <v>10</v>
      </c>
      <c r="Z9" s="128"/>
      <c r="AA9" s="128"/>
      <c r="AB9" s="128"/>
      <c r="AC9" s="775" t="s">
        <v>182</v>
      </c>
    </row>
    <row r="10" spans="2:37" ht="48" customHeight="1" x14ac:dyDescent="0.2">
      <c r="B10" s="515"/>
      <c r="C10" s="516"/>
      <c r="D10" s="515"/>
      <c r="E10" s="515"/>
      <c r="F10" s="779"/>
      <c r="G10" s="518" t="s">
        <v>12</v>
      </c>
      <c r="H10" s="518" t="s">
        <v>13</v>
      </c>
      <c r="I10" s="518" t="s">
        <v>14</v>
      </c>
      <c r="J10" s="518" t="s">
        <v>15</v>
      </c>
      <c r="K10" s="781"/>
      <c r="L10" s="779"/>
      <c r="M10" s="518" t="s">
        <v>12</v>
      </c>
      <c r="N10" s="518" t="s">
        <v>13</v>
      </c>
      <c r="O10" s="518" t="s">
        <v>14</v>
      </c>
      <c r="P10" s="518" t="s">
        <v>15</v>
      </c>
      <c r="Q10" s="781"/>
      <c r="R10" s="779"/>
      <c r="S10" s="518" t="s">
        <v>12</v>
      </c>
      <c r="T10" s="518" t="s">
        <v>13</v>
      </c>
      <c r="U10" s="518" t="s">
        <v>14</v>
      </c>
      <c r="V10" s="518" t="s">
        <v>15</v>
      </c>
      <c r="W10" s="781"/>
      <c r="X10" s="783"/>
      <c r="Y10" s="103" t="s">
        <v>12</v>
      </c>
      <c r="Z10" s="103" t="s">
        <v>13</v>
      </c>
      <c r="AA10" s="103" t="s">
        <v>14</v>
      </c>
      <c r="AB10" s="103" t="s">
        <v>15</v>
      </c>
      <c r="AC10" s="776"/>
      <c r="AD10" s="89" t="s">
        <v>452</v>
      </c>
    </row>
    <row r="11" spans="2:37" ht="13.5" thickBot="1" x14ac:dyDescent="0.25">
      <c r="B11" s="520" t="s">
        <v>16</v>
      </c>
      <c r="C11" s="521" t="s">
        <v>17</v>
      </c>
      <c r="D11" s="473"/>
      <c r="E11" s="473"/>
      <c r="F11" s="474"/>
      <c r="G11" s="475" t="s">
        <v>18</v>
      </c>
      <c r="H11" s="475" t="s">
        <v>19</v>
      </c>
      <c r="I11" s="475" t="s">
        <v>20</v>
      </c>
      <c r="J11" s="475" t="s">
        <v>21</v>
      </c>
      <c r="K11" s="475" t="s">
        <v>20</v>
      </c>
      <c r="L11" s="474"/>
      <c r="M11" s="538" t="s">
        <v>584</v>
      </c>
      <c r="N11" s="475" t="s">
        <v>19</v>
      </c>
      <c r="O11" s="475" t="s">
        <v>20</v>
      </c>
      <c r="P11" s="475" t="s">
        <v>21</v>
      </c>
      <c r="Q11" s="506" t="s">
        <v>20</v>
      </c>
      <c r="R11" s="474"/>
      <c r="S11" s="475" t="s">
        <v>18</v>
      </c>
      <c r="T11" s="475" t="s">
        <v>19</v>
      </c>
      <c r="U11" s="475" t="s">
        <v>20</v>
      </c>
      <c r="V11" s="475" t="s">
        <v>21</v>
      </c>
      <c r="W11" s="506" t="s">
        <v>20</v>
      </c>
      <c r="X11" s="59"/>
      <c r="Y11" s="58" t="s">
        <v>18</v>
      </c>
      <c r="Z11" s="58" t="s">
        <v>19</v>
      </c>
      <c r="AA11" s="58" t="s">
        <v>20</v>
      </c>
      <c r="AB11" s="58" t="s">
        <v>21</v>
      </c>
      <c r="AC11" s="57" t="s">
        <v>20</v>
      </c>
    </row>
    <row r="12" spans="2:37" ht="13.5" thickBot="1" x14ac:dyDescent="0.25">
      <c r="B12" s="522"/>
      <c r="C12" s="523"/>
      <c r="D12" s="522"/>
      <c r="E12" s="522"/>
      <c r="F12" s="524" t="s">
        <v>22</v>
      </c>
      <c r="G12" s="735" t="s">
        <v>22</v>
      </c>
      <c r="H12" s="736"/>
      <c r="I12" s="736"/>
      <c r="J12" s="736"/>
      <c r="K12" s="539" t="s">
        <v>181</v>
      </c>
      <c r="L12" s="524" t="s">
        <v>22</v>
      </c>
      <c r="M12" s="735" t="s">
        <v>22</v>
      </c>
      <c r="N12" s="736"/>
      <c r="O12" s="736"/>
      <c r="P12" s="736"/>
      <c r="Q12" s="540" t="s">
        <v>183</v>
      </c>
      <c r="R12" s="524" t="s">
        <v>22</v>
      </c>
      <c r="S12" s="735" t="s">
        <v>22</v>
      </c>
      <c r="T12" s="736"/>
      <c r="U12" s="736"/>
      <c r="V12" s="736"/>
      <c r="W12" s="540" t="s">
        <v>183</v>
      </c>
      <c r="X12" s="101" t="s">
        <v>22</v>
      </c>
      <c r="Y12" s="730" t="s">
        <v>22</v>
      </c>
      <c r="Z12" s="731"/>
      <c r="AA12" s="731"/>
      <c r="AB12" s="731"/>
      <c r="AC12" s="153" t="s">
        <v>183</v>
      </c>
      <c r="AD12" s="430">
        <v>0.75</v>
      </c>
      <c r="AE12" s="425" t="s">
        <v>457</v>
      </c>
    </row>
    <row r="13" spans="2:37" ht="15" thickBot="1" x14ac:dyDescent="0.25">
      <c r="B13" s="100" t="s">
        <v>160</v>
      </c>
      <c r="C13" s="99" t="s">
        <v>161</v>
      </c>
      <c r="D13" s="98"/>
      <c r="E13" s="97" t="s">
        <v>159</v>
      </c>
      <c r="F13" s="96">
        <f t="shared" ref="F13:F18" si="0">SUM(G13:J13)</f>
        <v>1000</v>
      </c>
      <c r="G13" s="95">
        <v>1000</v>
      </c>
      <c r="H13" s="95"/>
      <c r="I13" s="95"/>
      <c r="J13" s="95"/>
      <c r="K13" s="94"/>
      <c r="L13" s="96">
        <f t="shared" ref="L13:L18" si="1">SUM(M13:P13)</f>
        <v>816</v>
      </c>
      <c r="M13" s="95">
        <f>247+569</f>
        <v>816</v>
      </c>
      <c r="N13" s="95"/>
      <c r="O13" s="95"/>
      <c r="P13" s="95"/>
      <c r="Q13" s="94"/>
      <c r="R13" s="96">
        <f t="shared" ref="R13:R18" si="2">SUM(S13:V13)</f>
        <v>940</v>
      </c>
      <c r="S13" s="95">
        <v>940</v>
      </c>
      <c r="T13" s="95"/>
      <c r="U13" s="95"/>
      <c r="V13" s="95"/>
      <c r="W13" s="94"/>
      <c r="X13" s="96">
        <f t="shared" ref="X13:X18" si="3">SUM(Y13:AB13)</f>
        <v>-60</v>
      </c>
      <c r="Y13" s="126">
        <f t="shared" ref="Y13:AC18" si="4">S13-G13</f>
        <v>-60</v>
      </c>
      <c r="Z13" s="126">
        <f t="shared" si="4"/>
        <v>0</v>
      </c>
      <c r="AA13" s="126">
        <f t="shared" si="4"/>
        <v>0</v>
      </c>
      <c r="AB13" s="126">
        <f t="shared" si="4"/>
        <v>0</v>
      </c>
      <c r="AC13" s="126">
        <f t="shared" si="4"/>
        <v>0</v>
      </c>
      <c r="AE13" s="127"/>
      <c r="AF13" s="127"/>
      <c r="AG13" s="127"/>
      <c r="AH13" s="127"/>
      <c r="AI13" s="127"/>
      <c r="AJ13" s="127"/>
      <c r="AK13" s="127"/>
    </row>
    <row r="14" spans="2:37" ht="15" thickBot="1" x14ac:dyDescent="0.25">
      <c r="B14" s="100" t="s">
        <v>158</v>
      </c>
      <c r="C14" s="99" t="s">
        <v>157</v>
      </c>
      <c r="D14" s="98"/>
      <c r="E14" s="97" t="s">
        <v>162</v>
      </c>
      <c r="F14" s="96">
        <f t="shared" si="0"/>
        <v>16860</v>
      </c>
      <c r="G14" s="95">
        <v>16860</v>
      </c>
      <c r="H14" s="95"/>
      <c r="I14" s="95"/>
      <c r="J14" s="95"/>
      <c r="K14" s="94">
        <v>4000</v>
      </c>
      <c r="L14" s="96">
        <f t="shared" si="1"/>
        <v>28560</v>
      </c>
      <c r="M14" s="95">
        <f>16860+11700</f>
        <v>28560</v>
      </c>
      <c r="N14" s="95"/>
      <c r="O14" s="95"/>
      <c r="P14" s="95"/>
      <c r="Q14" s="94">
        <v>4000</v>
      </c>
      <c r="R14" s="96">
        <f>SUM(S14:V14)</f>
        <v>16020</v>
      </c>
      <c r="S14" s="95">
        <v>16020</v>
      </c>
      <c r="T14" s="95"/>
      <c r="U14" s="95"/>
      <c r="V14" s="95"/>
      <c r="W14" s="94">
        <v>4000</v>
      </c>
      <c r="X14" s="96">
        <f t="shared" si="3"/>
        <v>-840</v>
      </c>
      <c r="Y14" s="126">
        <f t="shared" si="4"/>
        <v>-840</v>
      </c>
      <c r="Z14" s="126">
        <f t="shared" si="4"/>
        <v>0</v>
      </c>
      <c r="AA14" s="126">
        <f t="shared" si="4"/>
        <v>0</v>
      </c>
      <c r="AB14" s="126">
        <f t="shared" si="4"/>
        <v>0</v>
      </c>
      <c r="AC14" s="126">
        <f t="shared" si="4"/>
        <v>0</v>
      </c>
      <c r="AD14" s="244">
        <f t="shared" ref="AD14:AD15" si="5">ROUND(0.75*V14,0)</f>
        <v>0</v>
      </c>
      <c r="AE14" s="127"/>
      <c r="AF14" s="127"/>
      <c r="AG14" s="127"/>
      <c r="AH14" s="127"/>
      <c r="AI14" s="127"/>
      <c r="AJ14" s="127"/>
      <c r="AK14" s="127"/>
    </row>
    <row r="15" spans="2:37" ht="26.25" thickBot="1" x14ac:dyDescent="0.25">
      <c r="B15" s="100" t="s">
        <v>156</v>
      </c>
      <c r="C15" s="99" t="s">
        <v>157</v>
      </c>
      <c r="D15" s="98"/>
      <c r="E15" s="97" t="s">
        <v>163</v>
      </c>
      <c r="F15" s="96">
        <f t="shared" si="0"/>
        <v>9070</v>
      </c>
      <c r="G15" s="95">
        <v>9070</v>
      </c>
      <c r="H15" s="95"/>
      <c r="I15" s="95"/>
      <c r="J15" s="95"/>
      <c r="K15" s="94">
        <v>1356</v>
      </c>
      <c r="L15" s="96">
        <f t="shared" si="1"/>
        <v>11070</v>
      </c>
      <c r="M15" s="95">
        <f>9070+2000</f>
        <v>11070</v>
      </c>
      <c r="N15" s="95"/>
      <c r="O15" s="95"/>
      <c r="P15" s="95"/>
      <c r="Q15" s="94">
        <v>1356</v>
      </c>
      <c r="R15" s="96">
        <f>SUM(S15:V15)</f>
        <v>8620</v>
      </c>
      <c r="S15" s="95">
        <v>8620</v>
      </c>
      <c r="T15" s="95"/>
      <c r="U15" s="95"/>
      <c r="V15" s="95"/>
      <c r="W15" s="94">
        <v>1356</v>
      </c>
      <c r="X15" s="96">
        <f t="shared" si="3"/>
        <v>-450</v>
      </c>
      <c r="Y15" s="126">
        <f t="shared" si="4"/>
        <v>-450</v>
      </c>
      <c r="Z15" s="126">
        <f t="shared" si="4"/>
        <v>0</v>
      </c>
      <c r="AA15" s="126">
        <f t="shared" si="4"/>
        <v>0</v>
      </c>
      <c r="AB15" s="126">
        <f t="shared" si="4"/>
        <v>0</v>
      </c>
      <c r="AC15" s="126">
        <f t="shared" si="4"/>
        <v>0</v>
      </c>
      <c r="AD15" s="244">
        <f t="shared" si="5"/>
        <v>0</v>
      </c>
      <c r="AE15" s="127"/>
      <c r="AF15" s="127"/>
      <c r="AG15" s="127"/>
      <c r="AH15" s="127"/>
      <c r="AI15" s="127"/>
      <c r="AJ15" s="127"/>
      <c r="AK15" s="127"/>
    </row>
    <row r="16" spans="2:37" ht="15" thickBot="1" x14ac:dyDescent="0.25">
      <c r="B16" s="100" t="s">
        <v>155</v>
      </c>
      <c r="C16" s="99" t="s">
        <v>154</v>
      </c>
      <c r="D16" s="98"/>
      <c r="E16" s="97" t="s">
        <v>555</v>
      </c>
      <c r="F16" s="96">
        <f t="shared" si="0"/>
        <v>30400</v>
      </c>
      <c r="G16" s="95">
        <v>8150</v>
      </c>
      <c r="H16" s="95">
        <v>21000</v>
      </c>
      <c r="I16" s="95"/>
      <c r="J16" s="95">
        <v>1250</v>
      </c>
      <c r="K16" s="94"/>
      <c r="L16" s="96">
        <f t="shared" si="1"/>
        <v>30400</v>
      </c>
      <c r="M16" s="95">
        <v>8150</v>
      </c>
      <c r="N16" s="95">
        <v>21000</v>
      </c>
      <c r="O16" s="95"/>
      <c r="P16" s="95">
        <v>1250</v>
      </c>
      <c r="Q16" s="94"/>
      <c r="R16" s="96">
        <f t="shared" si="2"/>
        <v>29900</v>
      </c>
      <c r="S16" s="95">
        <v>7740</v>
      </c>
      <c r="T16" s="95">
        <v>21000</v>
      </c>
      <c r="U16" s="95"/>
      <c r="V16" s="95">
        <v>1160</v>
      </c>
      <c r="W16" s="94"/>
      <c r="X16" s="96">
        <f t="shared" si="3"/>
        <v>-500</v>
      </c>
      <c r="Y16" s="126">
        <f t="shared" si="4"/>
        <v>-410</v>
      </c>
      <c r="Z16" s="126">
        <f t="shared" si="4"/>
        <v>0</v>
      </c>
      <c r="AA16" s="126">
        <f t="shared" si="4"/>
        <v>0</v>
      </c>
      <c r="AB16" s="126">
        <f t="shared" si="4"/>
        <v>-90</v>
      </c>
      <c r="AC16" s="126">
        <f t="shared" si="4"/>
        <v>0</v>
      </c>
      <c r="AD16" s="244">
        <f>ROUND($AD$12*V16,0)</f>
        <v>870</v>
      </c>
      <c r="AE16" s="127"/>
      <c r="AF16" s="127"/>
      <c r="AG16" s="127"/>
      <c r="AH16" s="127"/>
      <c r="AI16" s="127"/>
      <c r="AJ16" s="127"/>
      <c r="AK16" s="127"/>
    </row>
    <row r="17" spans="2:37" ht="15" thickBot="1" x14ac:dyDescent="0.25">
      <c r="B17" s="100" t="s">
        <v>153</v>
      </c>
      <c r="C17" s="99" t="s">
        <v>154</v>
      </c>
      <c r="D17" s="98"/>
      <c r="E17" s="97" t="s">
        <v>164</v>
      </c>
      <c r="F17" s="96">
        <f t="shared" si="0"/>
        <v>20139</v>
      </c>
      <c r="G17" s="95">
        <v>6630</v>
      </c>
      <c r="H17" s="95">
        <v>13200</v>
      </c>
      <c r="I17" s="95"/>
      <c r="J17" s="95">
        <v>309</v>
      </c>
      <c r="K17" s="94"/>
      <c r="L17" s="96">
        <f t="shared" si="1"/>
        <v>20139</v>
      </c>
      <c r="M17" s="95">
        <v>6630</v>
      </c>
      <c r="N17" s="95">
        <v>13200</v>
      </c>
      <c r="O17" s="95"/>
      <c r="P17" s="95">
        <v>309</v>
      </c>
      <c r="Q17" s="94"/>
      <c r="R17" s="96">
        <f t="shared" si="2"/>
        <v>19808</v>
      </c>
      <c r="S17" s="95">
        <v>6300</v>
      </c>
      <c r="T17" s="95">
        <v>13200</v>
      </c>
      <c r="U17" s="95"/>
      <c r="V17" s="95">
        <v>308</v>
      </c>
      <c r="W17" s="94"/>
      <c r="X17" s="96">
        <f t="shared" si="3"/>
        <v>-331</v>
      </c>
      <c r="Y17" s="126">
        <f t="shared" si="4"/>
        <v>-330</v>
      </c>
      <c r="Z17" s="126">
        <f t="shared" si="4"/>
        <v>0</v>
      </c>
      <c r="AA17" s="126">
        <f t="shared" si="4"/>
        <v>0</v>
      </c>
      <c r="AB17" s="126">
        <f t="shared" si="4"/>
        <v>-1</v>
      </c>
      <c r="AC17" s="126">
        <f t="shared" si="4"/>
        <v>0</v>
      </c>
      <c r="AD17" s="244">
        <f t="shared" ref="AD17:AD18" si="6">ROUND($AD$12*V17,0)</f>
        <v>231</v>
      </c>
      <c r="AE17" s="127"/>
      <c r="AF17" s="127"/>
      <c r="AG17" s="127"/>
      <c r="AH17" s="127"/>
      <c r="AI17" s="127"/>
      <c r="AJ17" s="127"/>
      <c r="AK17" s="127"/>
    </row>
    <row r="18" spans="2:37" ht="21" customHeight="1" thickBot="1" x14ac:dyDescent="0.25">
      <c r="B18" s="100" t="s">
        <v>151</v>
      </c>
      <c r="C18" s="99" t="s">
        <v>152</v>
      </c>
      <c r="D18" s="98"/>
      <c r="E18" s="97" t="s">
        <v>447</v>
      </c>
      <c r="F18" s="96">
        <f t="shared" si="0"/>
        <v>152088</v>
      </c>
      <c r="G18" s="95">
        <v>131290</v>
      </c>
      <c r="H18" s="95"/>
      <c r="I18" s="95">
        <v>2698</v>
      </c>
      <c r="J18" s="95">
        <v>18100</v>
      </c>
      <c r="K18" s="94"/>
      <c r="L18" s="96">
        <f t="shared" si="1"/>
        <v>161088</v>
      </c>
      <c r="M18" s="95">
        <f>131290+9000</f>
        <v>140290</v>
      </c>
      <c r="N18" s="95"/>
      <c r="O18" s="95">
        <v>2698</v>
      </c>
      <c r="P18" s="95">
        <v>18100</v>
      </c>
      <c r="Q18" s="94"/>
      <c r="R18" s="96">
        <f t="shared" si="2"/>
        <v>145018</v>
      </c>
      <c r="S18" s="95">
        <v>124730</v>
      </c>
      <c r="T18" s="95"/>
      <c r="U18" s="95">
        <v>2788</v>
      </c>
      <c r="V18" s="95">
        <v>17500</v>
      </c>
      <c r="W18" s="94"/>
      <c r="X18" s="96">
        <f t="shared" si="3"/>
        <v>-7070</v>
      </c>
      <c r="Y18" s="126">
        <f t="shared" si="4"/>
        <v>-6560</v>
      </c>
      <c r="Z18" s="126">
        <f t="shared" si="4"/>
        <v>0</v>
      </c>
      <c r="AA18" s="126">
        <f t="shared" si="4"/>
        <v>90</v>
      </c>
      <c r="AB18" s="126">
        <f t="shared" si="4"/>
        <v>-600</v>
      </c>
      <c r="AC18" s="126">
        <f t="shared" si="4"/>
        <v>0</v>
      </c>
      <c r="AD18" s="244">
        <f t="shared" si="6"/>
        <v>13125</v>
      </c>
      <c r="AE18" s="127"/>
      <c r="AF18" s="127"/>
      <c r="AG18" s="127"/>
      <c r="AH18" s="127"/>
      <c r="AI18" s="127"/>
      <c r="AJ18" s="127"/>
      <c r="AK18" s="127"/>
    </row>
    <row r="19" spans="2:37" ht="15.75" thickBot="1" x14ac:dyDescent="0.25">
      <c r="B19" s="740" t="s">
        <v>40</v>
      </c>
      <c r="C19" s="741"/>
      <c r="D19" s="93"/>
      <c r="E19" s="92"/>
      <c r="F19" s="91">
        <f>SUM(F13:F18)</f>
        <v>229557</v>
      </c>
      <c r="G19" s="125">
        <f t="shared" ref="G19:X19" si="7">SUM(G13:G18)</f>
        <v>173000</v>
      </c>
      <c r="H19" s="125">
        <f t="shared" si="7"/>
        <v>34200</v>
      </c>
      <c r="I19" s="125">
        <f t="shared" si="7"/>
        <v>2698</v>
      </c>
      <c r="J19" s="124">
        <f t="shared" si="7"/>
        <v>19659</v>
      </c>
      <c r="K19" s="90">
        <f>SUM(K13:K18)</f>
        <v>5356</v>
      </c>
      <c r="L19" s="91">
        <f t="shared" si="7"/>
        <v>252073</v>
      </c>
      <c r="M19" s="125">
        <f t="shared" si="7"/>
        <v>195516</v>
      </c>
      <c r="N19" s="125">
        <f t="shared" si="7"/>
        <v>34200</v>
      </c>
      <c r="O19" s="125">
        <f t="shared" si="7"/>
        <v>2698</v>
      </c>
      <c r="P19" s="124">
        <f t="shared" si="7"/>
        <v>19659</v>
      </c>
      <c r="Q19" s="90">
        <f>SUM(Q13:Q18)</f>
        <v>5356</v>
      </c>
      <c r="R19" s="91">
        <f>SUM(R13:R18)</f>
        <v>220306</v>
      </c>
      <c r="S19" s="125">
        <f t="shared" si="7"/>
        <v>164350</v>
      </c>
      <c r="T19" s="125">
        <f t="shared" si="7"/>
        <v>34200</v>
      </c>
      <c r="U19" s="125">
        <f t="shared" si="7"/>
        <v>2788</v>
      </c>
      <c r="V19" s="124">
        <f t="shared" si="7"/>
        <v>18968</v>
      </c>
      <c r="W19" s="90">
        <f>SUM(W13:W18)</f>
        <v>5356</v>
      </c>
      <c r="X19" s="91">
        <f t="shared" si="7"/>
        <v>-9251</v>
      </c>
      <c r="Y19" s="125">
        <f>SUM(Y13:Y18)</f>
        <v>-8650</v>
      </c>
      <c r="Z19" s="125">
        <f>SUM(Z13:Z18)</f>
        <v>0</v>
      </c>
      <c r="AA19" s="125">
        <f>SUM(AA13:AA18)</f>
        <v>90</v>
      </c>
      <c r="AB19" s="124">
        <f>SUM(AB13:AB18)</f>
        <v>-691</v>
      </c>
      <c r="AC19" s="432">
        <f>SUM(AC13:AC18)</f>
        <v>0</v>
      </c>
      <c r="AD19" s="433">
        <f>SUM(AD16:AD18)</f>
        <v>14226</v>
      </c>
      <c r="AE19" s="434" t="s">
        <v>600</v>
      </c>
      <c r="AF19" s="127"/>
      <c r="AG19" s="127"/>
      <c r="AH19" s="127"/>
      <c r="AI19" s="127"/>
      <c r="AJ19" s="127"/>
      <c r="AK19" s="127"/>
    </row>
    <row r="20" spans="2:37" ht="3" customHeight="1" x14ac:dyDescent="0.2"/>
    <row r="21" spans="2:37" hidden="1" x14ac:dyDescent="0.2">
      <c r="B21" s="77" t="s">
        <v>556</v>
      </c>
    </row>
    <row r="22" spans="2:37" x14ac:dyDescent="0.2">
      <c r="AD22" s="773">
        <f>V19*AD12</f>
        <v>14226</v>
      </c>
      <c r="AE22" s="774"/>
      <c r="AF22" s="431" t="s">
        <v>599</v>
      </c>
    </row>
    <row r="26" spans="2:37" x14ac:dyDescent="0.2">
      <c r="K26" s="244"/>
    </row>
    <row r="27" spans="2:37" x14ac:dyDescent="0.2">
      <c r="K27" s="244"/>
    </row>
    <row r="28" spans="2:37" x14ac:dyDescent="0.2">
      <c r="K28" s="244"/>
    </row>
  </sheetData>
  <sheetProtection selectLockedCells="1"/>
  <mergeCells count="19">
    <mergeCell ref="B19:C19"/>
    <mergeCell ref="L8:P8"/>
    <mergeCell ref="R8:V8"/>
    <mergeCell ref="X8:AB8"/>
    <mergeCell ref="B9:C9"/>
    <mergeCell ref="G12:J12"/>
    <mergeCell ref="M12:P12"/>
    <mergeCell ref="S12:V12"/>
    <mergeCell ref="Y12:AB12"/>
    <mergeCell ref="W9:W10"/>
    <mergeCell ref="X9:X10"/>
    <mergeCell ref="AD22:AE22"/>
    <mergeCell ref="AC9:AC10"/>
    <mergeCell ref="F8:K8"/>
    <mergeCell ref="F9:F10"/>
    <mergeCell ref="K9:K10"/>
    <mergeCell ref="L9:L10"/>
    <mergeCell ref="Q9:Q10"/>
    <mergeCell ref="R9:R10"/>
  </mergeCells>
  <conditionalFormatting sqref="V19">
    <cfRule type="cellIs" dxfId="5" priority="6" operator="notEqual">
      <formula>18968</formula>
    </cfRule>
  </conditionalFormatting>
  <conditionalFormatting sqref="U19">
    <cfRule type="cellIs" dxfId="4" priority="5" operator="notEqual">
      <formula>2788</formula>
    </cfRule>
  </conditionalFormatting>
  <conditionalFormatting sqref="W19">
    <cfRule type="cellIs" dxfId="3" priority="4" operator="notEqual">
      <formula>5356</formula>
    </cfRule>
  </conditionalFormatting>
  <conditionalFormatting sqref="T19">
    <cfRule type="cellIs" dxfId="2" priority="3" operator="notEqual">
      <formula>34200</formula>
    </cfRule>
  </conditionalFormatting>
  <conditionalFormatting sqref="S19">
    <cfRule type="cellIs" dxfId="1" priority="2" operator="notEqual">
      <formula>164350</formula>
    </cfRule>
  </conditionalFormatting>
  <conditionalFormatting sqref="R19">
    <cfRule type="cellIs" dxfId="0" priority="1" operator="notEqual">
      <formula>220306</formula>
    </cfRule>
  </conditionalFormatting>
  <pageMargins left="0.70866141732283472" right="0.70866141732283472" top="0.78740157480314965" bottom="0.78740157480314965" header="0.31496062992125984" footer="0.31496062992125984"/>
  <pageSetup paperSize="9" scale="51"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L1:N1"/>
  <sheetViews>
    <sheetView showGridLines="0" zoomScaleNormal="100" workbookViewId="0">
      <selection activeCell="B14" sqref="B14"/>
    </sheetView>
  </sheetViews>
  <sheetFormatPr defaultRowHeight="12.75" x14ac:dyDescent="0.2"/>
  <cols>
    <col min="1" max="1" width="0.140625" customWidth="1"/>
    <col min="2" max="2" width="41" customWidth="1"/>
    <col min="3" max="11" width="12.7109375" customWidth="1"/>
    <col min="12" max="14" width="12.7109375" hidden="1" customWidth="1"/>
  </cols>
  <sheetData/>
  <pageMargins left="0.70866141732283472" right="0.70866141732283472" top="0.78740157480314965" bottom="0.78740157480314965" header="0.31496062992125984" footer="0.31496062992125984"/>
  <pageSetup paperSize="9" scale="85" fitToHeight="9999" orientation="landscape" r:id="rId1"/>
  <headerFooter>
    <oddFooter>&amp;L&amp;"Arial,Kurzíva"Rada Olomouckého kraje 25-09-2012
3. - Rozpočet Olomouckého kraje 2013 - návrh rozpočtu
Příloha č. 3b): Příspěvkové organizace zřizované Olomouckým krajem&amp;R&amp;"Arial,Kurzíva"Strana &amp;P (celkem 115)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4:H97"/>
  <sheetViews>
    <sheetView topLeftCell="A36" zoomScaleNormal="100" workbookViewId="0">
      <selection activeCell="H48" sqref="H48"/>
    </sheetView>
  </sheetViews>
  <sheetFormatPr defaultRowHeight="12.75" x14ac:dyDescent="0.2"/>
  <cols>
    <col min="1" max="1" width="1.5703125" customWidth="1"/>
    <col min="2" max="2" width="29.42578125" customWidth="1"/>
    <col min="3" max="4" width="10.140625" bestFit="1" customWidth="1"/>
    <col min="6" max="6" width="11" customWidth="1"/>
    <col min="7" max="7" width="11.42578125" customWidth="1"/>
    <col min="8" max="8" width="21.140625" customWidth="1"/>
  </cols>
  <sheetData>
    <row r="4" spans="1:8" ht="21" thickBot="1" x14ac:dyDescent="0.35">
      <c r="A4" s="293" t="s">
        <v>455</v>
      </c>
      <c r="B4" s="255"/>
      <c r="F4" s="201" t="s">
        <v>5</v>
      </c>
    </row>
    <row r="5" spans="1:8" ht="13.5" thickTop="1" x14ac:dyDescent="0.2">
      <c r="C5" s="256"/>
      <c r="D5" s="257"/>
      <c r="E5" s="257"/>
      <c r="F5" s="227"/>
    </row>
    <row r="6" spans="1:8" x14ac:dyDescent="0.2">
      <c r="C6" s="258"/>
      <c r="D6" s="259"/>
      <c r="E6" s="789" t="s">
        <v>458</v>
      </c>
      <c r="F6" s="790"/>
      <c r="H6" s="245"/>
    </row>
    <row r="7" spans="1:8" ht="13.5" thickBot="1" x14ac:dyDescent="0.25">
      <c r="C7" s="260" t="s">
        <v>456</v>
      </c>
      <c r="D7" s="261" t="s">
        <v>461</v>
      </c>
      <c r="E7" s="262" t="s">
        <v>457</v>
      </c>
      <c r="F7" s="263" t="s">
        <v>459</v>
      </c>
    </row>
    <row r="8" spans="1:8" ht="13.5" thickTop="1" x14ac:dyDescent="0.2">
      <c r="B8" s="274" t="s">
        <v>466</v>
      </c>
      <c r="C8" s="264">
        <v>182100</v>
      </c>
      <c r="D8" s="264">
        <v>172000</v>
      </c>
      <c r="E8" s="265">
        <f>1-D8/C8</f>
        <v>5.5464030752333859E-2</v>
      </c>
      <c r="F8" s="266">
        <f>D8-C8</f>
        <v>-10100</v>
      </c>
    </row>
    <row r="9" spans="1:8" x14ac:dyDescent="0.2">
      <c r="B9" s="275" t="s">
        <v>467</v>
      </c>
      <c r="C9" s="268">
        <v>35200</v>
      </c>
      <c r="D9" s="268">
        <v>35200</v>
      </c>
      <c r="E9" s="269">
        <f>1-D9/C9</f>
        <v>0</v>
      </c>
      <c r="F9" s="270">
        <f>D9-C9</f>
        <v>0</v>
      </c>
    </row>
    <row r="10" spans="1:8" ht="23.25" customHeight="1" thickBot="1" x14ac:dyDescent="0.3">
      <c r="B10" s="276"/>
      <c r="C10" s="277">
        <f>SUM(C8:C9)</f>
        <v>217300</v>
      </c>
      <c r="D10" s="277">
        <f>SUM(D8:D9)</f>
        <v>207200</v>
      </c>
      <c r="E10" s="272">
        <f>1-D10/C10</f>
        <v>4.6479521398987589E-2</v>
      </c>
      <c r="F10" s="273">
        <f>D10-C10</f>
        <v>-10100</v>
      </c>
    </row>
    <row r="11" spans="1:8" ht="14.25" thickTop="1" thickBot="1" x14ac:dyDescent="0.25">
      <c r="H11" s="201" t="s">
        <v>5</v>
      </c>
    </row>
    <row r="12" spans="1:8" ht="13.5" hidden="1" thickBot="1" x14ac:dyDescent="0.25">
      <c r="E12" s="787" t="s">
        <v>458</v>
      </c>
      <c r="F12" s="787"/>
      <c r="G12" s="788"/>
    </row>
    <row r="13" spans="1:8" ht="23.25" hidden="1" thickBot="1" x14ac:dyDescent="0.25">
      <c r="C13" s="250" t="s">
        <v>456</v>
      </c>
      <c r="D13" s="249" t="s">
        <v>464</v>
      </c>
      <c r="E13" s="254" t="s">
        <v>457</v>
      </c>
      <c r="F13" s="254"/>
      <c r="G13" s="254" t="s">
        <v>459</v>
      </c>
    </row>
    <row r="14" spans="1:8" ht="13.5" hidden="1" thickBot="1" x14ac:dyDescent="0.25">
      <c r="B14" s="220" t="s">
        <v>466</v>
      </c>
      <c r="C14" s="199">
        <v>182000</v>
      </c>
      <c r="D14" s="199">
        <v>176940</v>
      </c>
      <c r="E14" s="246">
        <f>1-D14/C14</f>
        <v>2.7802197802197837E-2</v>
      </c>
      <c r="F14" s="246"/>
      <c r="G14" s="199">
        <f>D14-C14</f>
        <v>-5060</v>
      </c>
    </row>
    <row r="15" spans="1:8" ht="13.5" hidden="1" thickBot="1" x14ac:dyDescent="0.25">
      <c r="B15" s="220" t="s">
        <v>468</v>
      </c>
      <c r="C15" s="199">
        <v>35200</v>
      </c>
      <c r="D15" s="199">
        <v>34200</v>
      </c>
      <c r="E15" s="246">
        <f>1-D15/C15</f>
        <v>2.8409090909090939E-2</v>
      </c>
      <c r="F15" s="246"/>
      <c r="G15" s="199">
        <f>D15-C15</f>
        <v>-1000</v>
      </c>
      <c r="H15" s="245" t="s">
        <v>460</v>
      </c>
    </row>
    <row r="16" spans="1:8" ht="15.75" hidden="1" thickBot="1" x14ac:dyDescent="0.3">
      <c r="C16" s="221">
        <f>SUM(C14:C15)</f>
        <v>217200</v>
      </c>
      <c r="D16" s="199">
        <f>D15+D14</f>
        <v>211140</v>
      </c>
      <c r="E16" s="247">
        <f>1-D16/C16</f>
        <v>2.7900552486187835E-2</v>
      </c>
      <c r="F16" s="247"/>
      <c r="G16" s="248">
        <f>D16-C16</f>
        <v>-6060</v>
      </c>
    </row>
    <row r="17" spans="2:8" ht="13.5" hidden="1" thickBot="1" x14ac:dyDescent="0.25"/>
    <row r="18" spans="2:8" ht="13.5" hidden="1" thickBot="1" x14ac:dyDescent="0.25">
      <c r="B18" s="245" t="s">
        <v>462</v>
      </c>
    </row>
    <row r="19" spans="2:8" ht="16.5" hidden="1" thickBot="1" x14ac:dyDescent="0.3">
      <c r="C19" s="251" t="s">
        <v>463</v>
      </c>
      <c r="D19" s="252"/>
      <c r="E19" s="252"/>
      <c r="F19" s="252"/>
      <c r="G19" s="253">
        <f>F10-G16</f>
        <v>-4040</v>
      </c>
    </row>
    <row r="20" spans="2:8" ht="13.5" hidden="1" thickBot="1" x14ac:dyDescent="0.25"/>
    <row r="21" spans="2:8" ht="13.5" hidden="1" thickBot="1" x14ac:dyDescent="0.25"/>
    <row r="22" spans="2:8" ht="29.25" customHeight="1" thickTop="1" x14ac:dyDescent="0.25">
      <c r="B22" s="291" t="s">
        <v>465</v>
      </c>
      <c r="C22" s="299" t="s">
        <v>456</v>
      </c>
      <c r="D22" s="300" t="s">
        <v>461</v>
      </c>
      <c r="E22" s="301" t="s">
        <v>464</v>
      </c>
      <c r="F22" s="298" t="s">
        <v>483</v>
      </c>
      <c r="G22" s="302" t="s">
        <v>484</v>
      </c>
      <c r="H22" s="227"/>
    </row>
    <row r="23" spans="2:8" ht="15.75" thickBot="1" x14ac:dyDescent="0.3">
      <c r="B23" s="283"/>
      <c r="C23" s="284">
        <f>SUM(C25:C28)</f>
        <v>245948</v>
      </c>
      <c r="D23" s="285">
        <f t="shared" ref="D23:F23" si="0">SUM(D25:D28)</f>
        <v>235848</v>
      </c>
      <c r="E23" s="285">
        <f t="shared" si="0"/>
        <v>238853</v>
      </c>
      <c r="F23" s="285">
        <f t="shared" si="0"/>
        <v>3005</v>
      </c>
      <c r="G23" s="286">
        <f>E23-C23</f>
        <v>-7095</v>
      </c>
      <c r="H23" s="292" t="s">
        <v>474</v>
      </c>
    </row>
    <row r="24" spans="2:8" ht="15.75" thickTop="1" x14ac:dyDescent="0.25">
      <c r="B24" s="290" t="s">
        <v>10</v>
      </c>
      <c r="C24" s="287"/>
      <c r="D24" s="288"/>
      <c r="E24" s="288"/>
      <c r="F24" s="288"/>
      <c r="G24" s="289"/>
      <c r="H24" s="228"/>
    </row>
    <row r="25" spans="2:8" ht="20.25" customHeight="1" x14ac:dyDescent="0.2">
      <c r="B25" s="267" t="s">
        <v>470</v>
      </c>
      <c r="C25" s="280">
        <v>182100</v>
      </c>
      <c r="D25" s="268">
        <v>172000</v>
      </c>
      <c r="E25" s="268">
        <v>176940</v>
      </c>
      <c r="F25" s="268">
        <f>E25-D25</f>
        <v>4940</v>
      </c>
      <c r="G25" s="281">
        <f>E25-C25</f>
        <v>-5160</v>
      </c>
      <c r="H25" s="228"/>
    </row>
    <row r="26" spans="2:8" ht="32.25" customHeight="1" x14ac:dyDescent="0.2">
      <c r="B26" s="306" t="s">
        <v>471</v>
      </c>
      <c r="C26" s="280">
        <v>35200</v>
      </c>
      <c r="D26" s="268">
        <v>35200</v>
      </c>
      <c r="E26" s="268">
        <v>34200</v>
      </c>
      <c r="F26" s="268">
        <f t="shared" ref="F26:F28" si="1">E26-D26</f>
        <v>-1000</v>
      </c>
      <c r="G26" s="281">
        <f t="shared" ref="G26:G28" si="2">E26-C26</f>
        <v>-1000</v>
      </c>
      <c r="H26" s="304" t="s">
        <v>460</v>
      </c>
    </row>
    <row r="27" spans="2:8" x14ac:dyDescent="0.2">
      <c r="B27" s="306" t="s">
        <v>472</v>
      </c>
      <c r="C27" s="280">
        <v>8018</v>
      </c>
      <c r="D27" s="268">
        <v>8018</v>
      </c>
      <c r="E27" s="268">
        <f>2698+5356</f>
        <v>8054</v>
      </c>
      <c r="F27" s="268">
        <f t="shared" si="1"/>
        <v>36</v>
      </c>
      <c r="G27" s="281">
        <f t="shared" si="2"/>
        <v>36</v>
      </c>
      <c r="H27" s="228"/>
    </row>
    <row r="28" spans="2:8" x14ac:dyDescent="0.2">
      <c r="B28" s="267" t="s">
        <v>473</v>
      </c>
      <c r="C28" s="280">
        <v>20630</v>
      </c>
      <c r="D28" s="268">
        <v>20630</v>
      </c>
      <c r="E28" s="268">
        <v>19659</v>
      </c>
      <c r="F28" s="268">
        <f t="shared" si="1"/>
        <v>-971</v>
      </c>
      <c r="G28" s="281">
        <f t="shared" si="2"/>
        <v>-971</v>
      </c>
      <c r="H28" s="228"/>
    </row>
    <row r="29" spans="2:8" ht="5.25" customHeight="1" thickBot="1" x14ac:dyDescent="0.25">
      <c r="B29" s="271"/>
      <c r="C29" s="282"/>
      <c r="D29" s="278"/>
      <c r="E29" s="278"/>
      <c r="F29" s="278"/>
      <c r="G29" s="279"/>
      <c r="H29" s="279"/>
    </row>
    <row r="30" spans="2:8" ht="13.5" thickTop="1" x14ac:dyDescent="0.2"/>
    <row r="31" spans="2:8" x14ac:dyDescent="0.2">
      <c r="B31" s="791" t="s">
        <v>453</v>
      </c>
      <c r="C31" s="702"/>
      <c r="D31" s="702"/>
      <c r="E31" s="702"/>
      <c r="F31" s="702"/>
      <c r="G31" s="702"/>
      <c r="H31" s="702"/>
    </row>
    <row r="32" spans="2:8" x14ac:dyDescent="0.2">
      <c r="B32" s="702"/>
      <c r="C32" s="702"/>
      <c r="D32" s="702"/>
      <c r="E32" s="702"/>
      <c r="F32" s="702"/>
      <c r="G32" s="702"/>
      <c r="H32" s="702"/>
    </row>
    <row r="33" spans="1:8" x14ac:dyDescent="0.2">
      <c r="B33" s="702"/>
      <c r="C33" s="702"/>
      <c r="D33" s="702"/>
      <c r="E33" s="702"/>
      <c r="F33" s="702"/>
      <c r="G33" s="702"/>
      <c r="H33" s="702"/>
    </row>
    <row r="34" spans="1:8" ht="4.5" customHeight="1" x14ac:dyDescent="0.2">
      <c r="B34" s="702"/>
      <c r="C34" s="702"/>
      <c r="D34" s="702"/>
      <c r="E34" s="702"/>
      <c r="F34" s="702"/>
      <c r="G34" s="702"/>
      <c r="H34" s="702"/>
    </row>
    <row r="35" spans="1:8" x14ac:dyDescent="0.2">
      <c r="B35" s="702"/>
      <c r="C35" s="702"/>
      <c r="D35" s="702"/>
      <c r="E35" s="702"/>
      <c r="F35" s="702"/>
      <c r="G35" s="702"/>
      <c r="H35" s="702"/>
    </row>
    <row r="36" spans="1:8" x14ac:dyDescent="0.2">
      <c r="B36" s="702"/>
      <c r="C36" s="702"/>
      <c r="D36" s="702"/>
      <c r="E36" s="702"/>
      <c r="F36" s="702"/>
      <c r="G36" s="702"/>
      <c r="H36" s="702"/>
    </row>
    <row r="37" spans="1:8" x14ac:dyDescent="0.2">
      <c r="B37" s="786" t="s">
        <v>454</v>
      </c>
      <c r="C37" s="702"/>
      <c r="D37" s="702"/>
      <c r="E37" s="702"/>
      <c r="F37" s="702"/>
      <c r="G37" s="702"/>
      <c r="H37" s="702"/>
    </row>
    <row r="38" spans="1:8" x14ac:dyDescent="0.2">
      <c r="B38" s="702"/>
      <c r="C38" s="702"/>
      <c r="D38" s="702"/>
      <c r="E38" s="702"/>
      <c r="F38" s="702"/>
      <c r="G38" s="702"/>
      <c r="H38" s="702"/>
    </row>
    <row r="39" spans="1:8" x14ac:dyDescent="0.2">
      <c r="B39" s="702"/>
      <c r="C39" s="702"/>
      <c r="D39" s="702"/>
      <c r="E39" s="702"/>
      <c r="F39" s="702"/>
      <c r="G39" s="702"/>
      <c r="H39" s="702"/>
    </row>
    <row r="40" spans="1:8" x14ac:dyDescent="0.2">
      <c r="B40" s="702"/>
      <c r="C40" s="702"/>
      <c r="D40" s="702"/>
      <c r="E40" s="702"/>
      <c r="F40" s="702"/>
      <c r="G40" s="702"/>
      <c r="H40" s="702"/>
    </row>
    <row r="46" spans="1:8" ht="24" thickBot="1" x14ac:dyDescent="0.4">
      <c r="A46" s="295" t="s">
        <v>475</v>
      </c>
      <c r="B46" s="255"/>
      <c r="F46" s="201" t="s">
        <v>5</v>
      </c>
    </row>
    <row r="47" spans="1:8" ht="13.5" thickTop="1" x14ac:dyDescent="0.2">
      <c r="C47" s="256"/>
      <c r="D47" s="257"/>
      <c r="E47" s="257"/>
      <c r="F47" s="227"/>
    </row>
    <row r="48" spans="1:8" x14ac:dyDescent="0.2">
      <c r="C48" s="258"/>
      <c r="D48" s="259"/>
      <c r="E48" s="262" t="s">
        <v>458</v>
      </c>
      <c r="F48" s="297"/>
      <c r="H48" s="245"/>
    </row>
    <row r="49" spans="2:8" ht="13.5" thickBot="1" x14ac:dyDescent="0.25">
      <c r="C49" s="260" t="s">
        <v>456</v>
      </c>
      <c r="D49" s="261" t="s">
        <v>461</v>
      </c>
      <c r="E49" s="262" t="s">
        <v>457</v>
      </c>
      <c r="F49" s="263" t="s">
        <v>459</v>
      </c>
    </row>
    <row r="50" spans="2:8" ht="13.5" thickTop="1" x14ac:dyDescent="0.2">
      <c r="B50" s="274" t="s">
        <v>466</v>
      </c>
      <c r="C50" s="264">
        <v>156608</v>
      </c>
      <c r="D50" s="264">
        <v>148000</v>
      </c>
      <c r="E50" s="265">
        <f>1-D50/C50</f>
        <v>5.496526358806697E-2</v>
      </c>
      <c r="F50" s="266">
        <f>D50-C50</f>
        <v>-8608</v>
      </c>
    </row>
    <row r="51" spans="2:8" x14ac:dyDescent="0.2">
      <c r="B51" s="305" t="s">
        <v>467</v>
      </c>
      <c r="C51" s="268"/>
      <c r="D51" s="268"/>
      <c r="E51" s="269"/>
      <c r="F51" s="270"/>
    </row>
    <row r="52" spans="2:8" ht="15.75" thickBot="1" x14ac:dyDescent="0.3">
      <c r="B52" s="276"/>
      <c r="C52" s="277">
        <f>SUM(C50:C51)</f>
        <v>156608</v>
      </c>
      <c r="D52" s="277">
        <f>SUM(D50:D51)</f>
        <v>148000</v>
      </c>
      <c r="E52" s="272">
        <f>1-D52/C52</f>
        <v>5.496526358806697E-2</v>
      </c>
      <c r="F52" s="273">
        <f>D52-C52</f>
        <v>-8608</v>
      </c>
    </row>
    <row r="53" spans="2:8" ht="14.25" thickTop="1" thickBot="1" x14ac:dyDescent="0.25">
      <c r="H53" s="201" t="s">
        <v>5</v>
      </c>
    </row>
    <row r="54" spans="2:8" ht="29.25" customHeight="1" thickTop="1" x14ac:dyDescent="0.25">
      <c r="B54" s="291" t="s">
        <v>465</v>
      </c>
      <c r="C54" s="299" t="s">
        <v>456</v>
      </c>
      <c r="D54" s="300" t="s">
        <v>461</v>
      </c>
      <c r="E54" s="301" t="s">
        <v>464</v>
      </c>
      <c r="F54" s="303" t="s">
        <v>483</v>
      </c>
      <c r="G54" s="302" t="s">
        <v>484</v>
      </c>
      <c r="H54" s="227"/>
    </row>
    <row r="55" spans="2:8" ht="15.75" thickBot="1" x14ac:dyDescent="0.3">
      <c r="B55" s="283"/>
      <c r="C55" s="284">
        <f>SUM(C57:C58)</f>
        <v>184254</v>
      </c>
      <c r="D55" s="285">
        <f>SUM(D57:D58)</f>
        <v>175646</v>
      </c>
      <c r="E55" s="285">
        <f>SUM(E57:E58)</f>
        <v>310593</v>
      </c>
      <c r="F55" s="285">
        <f>SUM(F57:F58)</f>
        <v>134947</v>
      </c>
      <c r="G55" s="286">
        <f>E55-C55</f>
        <v>126339</v>
      </c>
      <c r="H55" s="292" t="s">
        <v>474</v>
      </c>
    </row>
    <row r="56" spans="2:8" ht="15.75" thickTop="1" x14ac:dyDescent="0.25">
      <c r="B56" s="290" t="s">
        <v>10</v>
      </c>
      <c r="C56" s="287"/>
      <c r="D56" s="288"/>
      <c r="E56" s="288"/>
      <c r="F56" s="288"/>
      <c r="G56" s="289"/>
      <c r="H56" s="228"/>
    </row>
    <row r="57" spans="2:8" ht="20.25" customHeight="1" x14ac:dyDescent="0.2">
      <c r="B57" s="267" t="s">
        <v>470</v>
      </c>
      <c r="C57" s="280">
        <v>156608</v>
      </c>
      <c r="D57" s="268">
        <v>148000</v>
      </c>
      <c r="E57" s="268">
        <v>278957</v>
      </c>
      <c r="F57" s="268">
        <f t="shared" ref="F57:F58" si="3">E57-D57</f>
        <v>130957</v>
      </c>
      <c r="G57" s="281">
        <f t="shared" ref="G57:G58" si="4">E57-C57</f>
        <v>122349</v>
      </c>
      <c r="H57" s="228"/>
    </row>
    <row r="58" spans="2:8" x14ac:dyDescent="0.2">
      <c r="B58" s="267" t="s">
        <v>476</v>
      </c>
      <c r="C58" s="280">
        <v>27646</v>
      </c>
      <c r="D58" s="268">
        <v>27646</v>
      </c>
      <c r="E58" s="268">
        <v>31636</v>
      </c>
      <c r="F58" s="268">
        <f t="shared" si="3"/>
        <v>3990</v>
      </c>
      <c r="G58" s="281">
        <f t="shared" si="4"/>
        <v>3990</v>
      </c>
      <c r="H58" s="228"/>
    </row>
    <row r="59" spans="2:8" ht="6.75" customHeight="1" thickBot="1" x14ac:dyDescent="0.25">
      <c r="B59" s="271"/>
      <c r="C59" s="282"/>
      <c r="D59" s="278"/>
      <c r="E59" s="278"/>
      <c r="F59" s="278"/>
      <c r="G59" s="279"/>
      <c r="H59" s="279"/>
    </row>
    <row r="60" spans="2:8" ht="15.95" customHeight="1" thickTop="1" x14ac:dyDescent="0.2">
      <c r="B60" s="259"/>
      <c r="C60" s="268"/>
      <c r="D60" s="268"/>
      <c r="E60" s="268"/>
      <c r="F60" s="268"/>
      <c r="G60" s="259"/>
      <c r="H60" s="259"/>
    </row>
    <row r="61" spans="2:8" ht="15.95" customHeight="1" x14ac:dyDescent="0.2">
      <c r="B61" s="784" t="s">
        <v>485</v>
      </c>
      <c r="C61" s="702"/>
      <c r="D61" s="702"/>
      <c r="E61" s="702"/>
      <c r="F61" s="702"/>
      <c r="G61" s="702"/>
      <c r="H61" s="702"/>
    </row>
    <row r="62" spans="2:8" ht="10.5" customHeight="1" x14ac:dyDescent="0.2">
      <c r="B62" s="702"/>
      <c r="C62" s="702"/>
      <c r="D62" s="702"/>
      <c r="E62" s="702"/>
      <c r="F62" s="702"/>
      <c r="G62" s="702"/>
      <c r="H62" s="702"/>
    </row>
    <row r="63" spans="2:8" ht="15.95" customHeight="1" x14ac:dyDescent="0.2">
      <c r="B63" s="702"/>
      <c r="C63" s="702"/>
      <c r="D63" s="702"/>
      <c r="E63" s="702"/>
      <c r="F63" s="702"/>
      <c r="G63" s="702"/>
      <c r="H63" s="702"/>
    </row>
    <row r="64" spans="2:8" ht="15.95" customHeight="1" x14ac:dyDescent="0.2">
      <c r="B64" s="785" t="s">
        <v>486</v>
      </c>
      <c r="C64" s="757"/>
      <c r="D64" s="757"/>
      <c r="E64" s="757"/>
      <c r="F64" s="757"/>
      <c r="G64" s="757"/>
      <c r="H64" s="757"/>
    </row>
    <row r="65" spans="1:8" ht="15.95" customHeight="1" x14ac:dyDescent="0.2">
      <c r="B65" s="757"/>
      <c r="C65" s="757"/>
      <c r="D65" s="757"/>
      <c r="E65" s="757"/>
      <c r="F65" s="757"/>
      <c r="G65" s="757"/>
      <c r="H65" s="757"/>
    </row>
    <row r="66" spans="1:8" ht="15.95" customHeight="1" x14ac:dyDescent="0.2">
      <c r="B66" s="757"/>
      <c r="C66" s="757"/>
      <c r="D66" s="757"/>
      <c r="E66" s="757"/>
      <c r="F66" s="757"/>
      <c r="G66" s="757"/>
      <c r="H66" s="757"/>
    </row>
    <row r="67" spans="1:8" ht="15.95" customHeight="1" x14ac:dyDescent="0.2">
      <c r="B67" s="757"/>
      <c r="C67" s="757"/>
      <c r="D67" s="757"/>
      <c r="E67" s="757"/>
      <c r="F67" s="757"/>
      <c r="G67" s="757"/>
      <c r="H67" s="757"/>
    </row>
    <row r="68" spans="1:8" ht="15.95" customHeight="1" x14ac:dyDescent="0.2">
      <c r="B68" s="757"/>
      <c r="C68" s="757"/>
      <c r="D68" s="757"/>
      <c r="E68" s="757"/>
      <c r="F68" s="757"/>
      <c r="G68" s="757"/>
      <c r="H68" s="757"/>
    </row>
    <row r="69" spans="1:8" ht="15.95" customHeight="1" x14ac:dyDescent="0.2">
      <c r="B69" s="757"/>
      <c r="C69" s="757"/>
      <c r="D69" s="757"/>
      <c r="E69" s="757"/>
      <c r="F69" s="757"/>
      <c r="G69" s="757"/>
      <c r="H69" s="757"/>
    </row>
    <row r="70" spans="1:8" ht="15.95" customHeight="1" x14ac:dyDescent="0.2">
      <c r="B70" s="259"/>
      <c r="C70" s="268"/>
      <c r="D70" s="268"/>
      <c r="E70" s="268"/>
      <c r="F70" s="268"/>
      <c r="G70" s="259"/>
      <c r="H70" s="259"/>
    </row>
    <row r="71" spans="1:8" ht="15.95" customHeight="1" x14ac:dyDescent="0.2">
      <c r="B71" s="259"/>
      <c r="C71" s="268"/>
      <c r="D71" s="268"/>
      <c r="E71" s="268"/>
      <c r="F71" s="268"/>
      <c r="G71" s="259"/>
      <c r="H71" s="259"/>
    </row>
    <row r="74" spans="1:8" ht="24" thickBot="1" x14ac:dyDescent="0.4">
      <c r="A74" s="295" t="s">
        <v>477</v>
      </c>
      <c r="B74" s="255"/>
      <c r="F74" s="201" t="s">
        <v>5</v>
      </c>
    </row>
    <row r="75" spans="1:8" ht="13.5" thickTop="1" x14ac:dyDescent="0.2">
      <c r="C75" s="256"/>
      <c r="D75" s="257"/>
      <c r="E75" s="257"/>
      <c r="F75" s="227"/>
    </row>
    <row r="76" spans="1:8" x14ac:dyDescent="0.2">
      <c r="C76" s="258"/>
      <c r="D76" s="259"/>
      <c r="E76" s="262" t="s">
        <v>458</v>
      </c>
      <c r="F76" s="297"/>
      <c r="H76" s="245"/>
    </row>
    <row r="77" spans="1:8" ht="13.5" thickBot="1" x14ac:dyDescent="0.25">
      <c r="C77" s="260" t="s">
        <v>456</v>
      </c>
      <c r="D77" s="261" t="s">
        <v>461</v>
      </c>
      <c r="E77" s="262" t="s">
        <v>457</v>
      </c>
      <c r="F77" s="263" t="s">
        <v>459</v>
      </c>
    </row>
    <row r="78" spans="1:8" ht="13.5" thickTop="1" x14ac:dyDescent="0.2">
      <c r="B78" s="274" t="s">
        <v>466</v>
      </c>
      <c r="C78" s="264">
        <v>52609</v>
      </c>
      <c r="D78" s="264">
        <v>48000</v>
      </c>
      <c r="E78" s="265">
        <f>1-D78/C78</f>
        <v>8.7608584082571439E-2</v>
      </c>
      <c r="F78" s="266">
        <f>D78-C78</f>
        <v>-4609</v>
      </c>
    </row>
    <row r="79" spans="1:8" x14ac:dyDescent="0.2">
      <c r="B79" s="305" t="s">
        <v>467</v>
      </c>
      <c r="C79" s="268">
        <v>61387</v>
      </c>
      <c r="D79" s="268">
        <v>61387</v>
      </c>
      <c r="E79" s="269">
        <f>1-D79/C79</f>
        <v>0</v>
      </c>
      <c r="F79" s="270">
        <f>D79-C79</f>
        <v>0</v>
      </c>
    </row>
    <row r="80" spans="1:8" ht="15.75" thickBot="1" x14ac:dyDescent="0.3">
      <c r="B80" s="276"/>
      <c r="C80" s="277">
        <f>SUM(C78:C79)</f>
        <v>113996</v>
      </c>
      <c r="D80" s="277">
        <f>SUM(D78:D79)</f>
        <v>109387</v>
      </c>
      <c r="E80" s="272">
        <f>1-D80/C80</f>
        <v>4.043124320151581E-2</v>
      </c>
      <c r="F80" s="273">
        <f>D80-C80</f>
        <v>-4609</v>
      </c>
    </row>
    <row r="81" spans="2:8" ht="14.25" thickTop="1" thickBot="1" x14ac:dyDescent="0.25">
      <c r="H81" s="201" t="s">
        <v>5</v>
      </c>
    </row>
    <row r="82" spans="2:8" ht="25.5" thickTop="1" x14ac:dyDescent="0.25">
      <c r="B82" s="291" t="s">
        <v>465</v>
      </c>
      <c r="C82" s="299" t="s">
        <v>456</v>
      </c>
      <c r="D82" s="300" t="s">
        <v>461</v>
      </c>
      <c r="E82" s="301" t="s">
        <v>464</v>
      </c>
      <c r="F82" s="303" t="s">
        <v>483</v>
      </c>
      <c r="G82" s="302" t="s">
        <v>469</v>
      </c>
      <c r="H82" s="227"/>
    </row>
    <row r="83" spans="2:8" ht="15.75" thickBot="1" x14ac:dyDescent="0.3">
      <c r="B83" s="283"/>
      <c r="C83" s="284">
        <f>SUM(C85:C90)</f>
        <v>128681</v>
      </c>
      <c r="D83" s="285">
        <f>SUM(D85:D90)</f>
        <v>124072</v>
      </c>
      <c r="E83" s="285">
        <f>SUM(E85:E90)</f>
        <v>123966</v>
      </c>
      <c r="F83" s="285">
        <f>SUM(F85:F90)</f>
        <v>-106</v>
      </c>
      <c r="G83" s="286">
        <f>E83-C83</f>
        <v>-4715</v>
      </c>
      <c r="H83" s="292" t="s">
        <v>474</v>
      </c>
    </row>
    <row r="84" spans="2:8" ht="15.75" thickTop="1" x14ac:dyDescent="0.25">
      <c r="B84" s="290" t="s">
        <v>10</v>
      </c>
      <c r="C84" s="287"/>
      <c r="D84" s="288"/>
      <c r="E84" s="288"/>
      <c r="F84" s="288"/>
      <c r="G84" s="289"/>
      <c r="H84" s="228"/>
    </row>
    <row r="85" spans="2:8" x14ac:dyDescent="0.2">
      <c r="B85" s="267" t="s">
        <v>470</v>
      </c>
      <c r="C85" s="280">
        <v>52609</v>
      </c>
      <c r="D85" s="268">
        <v>48000</v>
      </c>
      <c r="E85" s="268">
        <f>'PO - kultura'!U21</f>
        <v>43964</v>
      </c>
      <c r="F85" s="268">
        <f t="shared" ref="F85:F90" si="5">E85-D85</f>
        <v>-4036</v>
      </c>
      <c r="G85" s="281">
        <f t="shared" ref="G85:G90" si="6">E85-C85</f>
        <v>-8645</v>
      </c>
      <c r="H85" s="228"/>
    </row>
    <row r="86" spans="2:8" x14ac:dyDescent="0.2">
      <c r="B86" s="306" t="s">
        <v>471</v>
      </c>
      <c r="C86" s="280">
        <v>61387</v>
      </c>
      <c r="D86" s="268">
        <v>61387</v>
      </c>
      <c r="E86" s="268">
        <f>'PO - kultura'!V21</f>
        <v>63584</v>
      </c>
      <c r="F86" s="268">
        <f t="shared" si="5"/>
        <v>2197</v>
      </c>
      <c r="G86" s="281">
        <f t="shared" si="6"/>
        <v>2197</v>
      </c>
      <c r="H86" s="228"/>
    </row>
    <row r="87" spans="2:8" x14ac:dyDescent="0.2">
      <c r="B87" s="267" t="s">
        <v>478</v>
      </c>
      <c r="C87" s="280">
        <v>1596</v>
      </c>
      <c r="D87" s="268">
        <v>1596</v>
      </c>
      <c r="E87" s="268">
        <f>'PO - kultura'!W21</f>
        <v>1596</v>
      </c>
      <c r="F87" s="268">
        <f t="shared" si="5"/>
        <v>0</v>
      </c>
      <c r="G87" s="281">
        <f t="shared" si="6"/>
        <v>0</v>
      </c>
      <c r="H87" s="228"/>
    </row>
    <row r="88" spans="2:8" x14ac:dyDescent="0.2">
      <c r="B88" s="267" t="s">
        <v>473</v>
      </c>
      <c r="C88" s="280">
        <v>12489</v>
      </c>
      <c r="D88" s="268">
        <v>12489</v>
      </c>
      <c r="E88" s="268">
        <f>'PO - kultura'!X21</f>
        <v>14537</v>
      </c>
      <c r="F88" s="268">
        <f t="shared" si="5"/>
        <v>2048</v>
      </c>
      <c r="G88" s="281">
        <f t="shared" si="6"/>
        <v>2048</v>
      </c>
      <c r="H88" s="228"/>
    </row>
    <row r="89" spans="2:8" x14ac:dyDescent="0.2">
      <c r="B89" s="267" t="s">
        <v>479</v>
      </c>
      <c r="C89" s="280">
        <v>300</v>
      </c>
      <c r="D89" s="268">
        <v>300</v>
      </c>
      <c r="E89" s="268">
        <f>'PO - kultura'!Z21</f>
        <v>285</v>
      </c>
      <c r="F89" s="268">
        <f t="shared" si="5"/>
        <v>-15</v>
      </c>
      <c r="G89" s="281">
        <f t="shared" si="6"/>
        <v>-15</v>
      </c>
      <c r="H89" s="228"/>
    </row>
    <row r="90" spans="2:8" x14ac:dyDescent="0.2">
      <c r="B90" s="267" t="s">
        <v>480</v>
      </c>
      <c r="C90" s="280">
        <v>300</v>
      </c>
      <c r="D90" s="268">
        <v>300</v>
      </c>
      <c r="E90" s="268">
        <f>'PO - kultura'!Y21</f>
        <v>0</v>
      </c>
      <c r="F90" s="268">
        <f t="shared" si="5"/>
        <v>-300</v>
      </c>
      <c r="G90" s="281">
        <f t="shared" si="6"/>
        <v>-300</v>
      </c>
      <c r="H90" s="228"/>
    </row>
    <row r="91" spans="2:8" ht="7.5" customHeight="1" thickBot="1" x14ac:dyDescent="0.25">
      <c r="B91" s="294"/>
      <c r="C91" s="282"/>
      <c r="D91" s="278"/>
      <c r="E91" s="278"/>
      <c r="F91" s="278"/>
      <c r="G91" s="279"/>
      <c r="H91" s="279"/>
    </row>
    <row r="92" spans="2:8" ht="13.5" thickTop="1" x14ac:dyDescent="0.2"/>
    <row r="94" spans="2:8" x14ac:dyDescent="0.2">
      <c r="B94" s="786" t="s">
        <v>487</v>
      </c>
      <c r="C94" s="702"/>
      <c r="D94" s="702"/>
      <c r="E94" s="702"/>
      <c r="F94" s="702"/>
      <c r="G94" s="702"/>
      <c r="H94" s="702"/>
    </row>
    <row r="95" spans="2:8" x14ac:dyDescent="0.2">
      <c r="B95" s="702"/>
      <c r="C95" s="702"/>
      <c r="D95" s="702"/>
      <c r="E95" s="702"/>
      <c r="F95" s="702"/>
      <c r="G95" s="702"/>
      <c r="H95" s="702"/>
    </row>
    <row r="96" spans="2:8" x14ac:dyDescent="0.2">
      <c r="B96" s="702"/>
      <c r="C96" s="702"/>
      <c r="D96" s="702"/>
      <c r="E96" s="702"/>
      <c r="F96" s="702"/>
      <c r="G96" s="702"/>
      <c r="H96" s="702"/>
    </row>
    <row r="97" spans="2:8" x14ac:dyDescent="0.2">
      <c r="B97" s="702"/>
      <c r="C97" s="702"/>
      <c r="D97" s="702"/>
      <c r="E97" s="702"/>
      <c r="F97" s="702"/>
      <c r="G97" s="702"/>
      <c r="H97" s="702"/>
    </row>
  </sheetData>
  <mergeCells count="7">
    <mergeCell ref="B61:H63"/>
    <mergeCell ref="B64:H69"/>
    <mergeCell ref="B94:H97"/>
    <mergeCell ref="E12:G12"/>
    <mergeCell ref="E6:F6"/>
    <mergeCell ref="B31:H36"/>
    <mergeCell ref="B37:H40"/>
  </mergeCells>
  <pageMargins left="0.70866141732283472" right="0.70866141732283472" top="0.78740157480314965" bottom="0.78740157480314965" header="0.31496062992125984" footer="0.31496062992125984"/>
  <pageSetup paperSize="9" fitToHeight="9999" orientation="landscape" r:id="rId1"/>
  <headerFooter>
    <oddFooter>&amp;L&amp;"Arial,Kurzíva"Rada Olomouckého kraje 25-9-2012
4. - Rozpočet Olomouckého kraje 2013 - návrh rozpočtu
Příloha č. 3b): Příspěvkové organizace zřizované Olomouckým krajem&amp;R&amp;"Arial,Kurzíva"Strana &amp;P (celkem xxx)</oddFooter>
  </headerFooter>
  <rowBreaks count="2" manualBreakCount="2">
    <brk id="43" max="16383" man="1"/>
    <brk id="7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Q61"/>
  <sheetViews>
    <sheetView showGridLines="0" zoomScaleNormal="100" workbookViewId="0">
      <selection activeCell="E32" sqref="E32:F32"/>
    </sheetView>
  </sheetViews>
  <sheetFormatPr defaultRowHeight="12.75" x14ac:dyDescent="0.2"/>
  <cols>
    <col min="1" max="1" width="0.140625" customWidth="1"/>
    <col min="2" max="2" width="41.42578125" customWidth="1"/>
    <col min="3" max="4" width="12.7109375" customWidth="1"/>
    <col min="5" max="5" width="11" customWidth="1"/>
    <col min="6" max="7" width="12.7109375" customWidth="1"/>
    <col min="8" max="8" width="10.7109375" customWidth="1"/>
    <col min="9" max="11" width="12.7109375" customWidth="1"/>
    <col min="12" max="14" width="12.7109375" hidden="1" customWidth="1"/>
    <col min="15" max="16" width="12.7109375" customWidth="1"/>
    <col min="17" max="17" width="11.7109375" customWidth="1"/>
  </cols>
  <sheetData>
    <row r="2" spans="2:17" ht="20.25" x14ac:dyDescent="0.3">
      <c r="B2" s="361" t="s">
        <v>177</v>
      </c>
      <c r="C2" s="359"/>
      <c r="D2" s="359"/>
      <c r="E2" s="359"/>
      <c r="F2" s="359"/>
      <c r="G2" s="359"/>
      <c r="H2" s="359"/>
      <c r="I2" s="359"/>
      <c r="J2" s="359"/>
      <c r="K2" s="61"/>
      <c r="L2" s="359"/>
      <c r="M2" s="358"/>
      <c r="N2" s="357" t="s">
        <v>211</v>
      </c>
      <c r="O2" s="359"/>
      <c r="P2" s="359"/>
      <c r="Q2" s="61" t="s">
        <v>211</v>
      </c>
    </row>
    <row r="3" spans="2:17" x14ac:dyDescent="0.2">
      <c r="B3" s="356" t="s">
        <v>210</v>
      </c>
      <c r="L3" s="690"/>
      <c r="M3" s="690"/>
      <c r="N3" s="690"/>
    </row>
    <row r="4" spans="2:17" x14ac:dyDescent="0.2">
      <c r="B4" s="356" t="s">
        <v>67</v>
      </c>
      <c r="L4" s="690"/>
      <c r="M4" s="690"/>
      <c r="N4" s="690"/>
    </row>
    <row r="5" spans="2:17" ht="13.5" thickBot="1" x14ac:dyDescent="0.25">
      <c r="N5" s="355" t="s">
        <v>5</v>
      </c>
    </row>
    <row r="6" spans="2:17" ht="26.1" customHeight="1" x14ac:dyDescent="0.2">
      <c r="B6" s="477"/>
      <c r="C6" s="691" t="s">
        <v>548</v>
      </c>
      <c r="D6" s="692"/>
      <c r="E6" s="692"/>
      <c r="F6" s="691" t="s">
        <v>561</v>
      </c>
      <c r="G6" s="692"/>
      <c r="H6" s="692"/>
      <c r="I6" s="691" t="s">
        <v>558</v>
      </c>
      <c r="J6" s="692"/>
      <c r="K6" s="693"/>
      <c r="L6" s="694" t="s">
        <v>6</v>
      </c>
      <c r="M6" s="695"/>
      <c r="N6" s="696"/>
      <c r="O6" s="666" t="s">
        <v>633</v>
      </c>
      <c r="P6" s="667"/>
      <c r="Q6" s="668"/>
    </row>
    <row r="7" spans="2:17" ht="12.75" customHeight="1" x14ac:dyDescent="0.2">
      <c r="B7" s="682" t="s">
        <v>66</v>
      </c>
      <c r="C7" s="684" t="s">
        <v>65</v>
      </c>
      <c r="D7" s="676" t="s">
        <v>10</v>
      </c>
      <c r="E7" s="686"/>
      <c r="F7" s="684" t="s">
        <v>65</v>
      </c>
      <c r="G7" s="676" t="s">
        <v>10</v>
      </c>
      <c r="H7" s="686"/>
      <c r="I7" s="684" t="s">
        <v>65</v>
      </c>
      <c r="J7" s="676" t="s">
        <v>10</v>
      </c>
      <c r="K7" s="677"/>
      <c r="L7" s="678" t="s">
        <v>65</v>
      </c>
      <c r="M7" s="680" t="s">
        <v>10</v>
      </c>
      <c r="N7" s="681"/>
      <c r="O7" s="643" t="s">
        <v>65</v>
      </c>
      <c r="P7" s="637" t="s">
        <v>10</v>
      </c>
      <c r="Q7" s="669"/>
    </row>
    <row r="8" spans="2:17" ht="36.75" thickBot="1" x14ac:dyDescent="0.25">
      <c r="B8" s="683"/>
      <c r="C8" s="685"/>
      <c r="D8" s="525" t="s">
        <v>64</v>
      </c>
      <c r="E8" s="525" t="s">
        <v>63</v>
      </c>
      <c r="F8" s="685"/>
      <c r="G8" s="525" t="s">
        <v>64</v>
      </c>
      <c r="H8" s="525" t="s">
        <v>63</v>
      </c>
      <c r="I8" s="685"/>
      <c r="J8" s="525" t="s">
        <v>64</v>
      </c>
      <c r="K8" s="526" t="s">
        <v>63</v>
      </c>
      <c r="L8" s="679"/>
      <c r="M8" s="354" t="s">
        <v>64</v>
      </c>
      <c r="N8" s="353" t="s">
        <v>63</v>
      </c>
      <c r="O8" s="644"/>
      <c r="P8" s="504" t="s">
        <v>64</v>
      </c>
      <c r="Q8" s="505" t="s">
        <v>63</v>
      </c>
    </row>
    <row r="9" spans="2:17" ht="14.25" thickTop="1" thickBot="1" x14ac:dyDescent="0.25">
      <c r="B9" s="479"/>
      <c r="C9" s="480" t="s">
        <v>62</v>
      </c>
      <c r="D9" s="481" t="s">
        <v>61</v>
      </c>
      <c r="E9" s="481" t="s">
        <v>60</v>
      </c>
      <c r="F9" s="480" t="s">
        <v>59</v>
      </c>
      <c r="G9" s="481" t="s">
        <v>58</v>
      </c>
      <c r="H9" s="481" t="s">
        <v>57</v>
      </c>
      <c r="I9" s="480" t="s">
        <v>56</v>
      </c>
      <c r="J9" s="481" t="s">
        <v>55</v>
      </c>
      <c r="K9" s="482" t="s">
        <v>54</v>
      </c>
      <c r="L9" s="22" t="s">
        <v>53</v>
      </c>
      <c r="M9" s="23" t="s">
        <v>52</v>
      </c>
      <c r="N9" s="24" t="s">
        <v>51</v>
      </c>
      <c r="O9" s="480" t="s">
        <v>634</v>
      </c>
      <c r="P9" s="481" t="s">
        <v>635</v>
      </c>
      <c r="Q9" s="482" t="s">
        <v>636</v>
      </c>
    </row>
    <row r="10" spans="2:17" ht="15.95" customHeight="1" thickBot="1" x14ac:dyDescent="0.3">
      <c r="B10" s="380" t="s">
        <v>50</v>
      </c>
      <c r="C10" s="377">
        <f>SUM(D10:E10)</f>
        <v>400804</v>
      </c>
      <c r="D10" s="391">
        <f>D12+D13+D14</f>
        <v>400804</v>
      </c>
      <c r="E10" s="391">
        <f>E12+E13+E14</f>
        <v>0</v>
      </c>
      <c r="F10" s="377">
        <f>SUM(G10:H10)</f>
        <v>402077</v>
      </c>
      <c r="G10" s="391">
        <f>G12+G13+G14</f>
        <v>402077</v>
      </c>
      <c r="H10" s="391">
        <f>H12+H13+H14</f>
        <v>0</v>
      </c>
      <c r="I10" s="377">
        <f>SUM(J10:K10)</f>
        <v>388827</v>
      </c>
      <c r="J10" s="391">
        <f>J12+J13+J14</f>
        <v>388827</v>
      </c>
      <c r="K10" s="390">
        <f>K12+K13+K14</f>
        <v>0</v>
      </c>
      <c r="L10" s="377">
        <f>SUM(M10:N10)</f>
        <v>-11977</v>
      </c>
      <c r="M10" s="391">
        <f>M12+M13+M14</f>
        <v>-11977</v>
      </c>
      <c r="N10" s="390">
        <f>N12+N13+N14</f>
        <v>0</v>
      </c>
      <c r="O10" s="620">
        <f>IF(I10=0," ",(IF(C10=0," ",I10/C10*100)))</f>
        <v>97.011756369696911</v>
      </c>
      <c r="P10" s="621">
        <f t="shared" ref="P10:Q10" si="0">IF(J10=0," ",(IF(D10=0," ",J10/D10*100)))</f>
        <v>97.011756369696911</v>
      </c>
      <c r="Q10" s="622" t="str">
        <f t="shared" si="0"/>
        <v xml:space="preserve"> </v>
      </c>
    </row>
    <row r="11" spans="2:17" x14ac:dyDescent="0.2">
      <c r="B11" s="351" t="s">
        <v>49</v>
      </c>
      <c r="C11" s="352"/>
      <c r="D11" s="348"/>
      <c r="E11" s="348"/>
      <c r="F11" s="352"/>
      <c r="G11" s="348"/>
      <c r="H11" s="348"/>
      <c r="I11" s="352"/>
      <c r="J11" s="348"/>
      <c r="K11" s="347"/>
      <c r="L11" s="352"/>
      <c r="M11" s="348"/>
      <c r="N11" s="347"/>
      <c r="O11" s="623" t="str">
        <f t="shared" ref="O11:O20" si="1">IF(I11=0," ",(IF(C11=0," ",I11/C11*100)))</f>
        <v xml:space="preserve"> </v>
      </c>
      <c r="P11" s="624" t="str">
        <f t="shared" ref="P11:P20" si="2">IF(J11=0," ",(IF(D11=0," ",J11/D11*100)))</f>
        <v xml:space="preserve"> </v>
      </c>
      <c r="Q11" s="625" t="str">
        <f t="shared" ref="Q11:Q20" si="3">IF(K11=0," ",(IF(E11=0," ",K11/E11*100)))</f>
        <v xml:space="preserve"> </v>
      </c>
    </row>
    <row r="12" spans="2:17" ht="15.95" customHeight="1" x14ac:dyDescent="0.2">
      <c r="B12" s="417" t="s">
        <v>587</v>
      </c>
      <c r="C12" s="349">
        <f>SUM(D12:E12)</f>
        <v>313484</v>
      </c>
      <c r="D12" s="350">
        <f>'ORJ - 10 - Olomouc'!G146+'ORJ - 10 - Šumperk'!G98+'ORJ - 10 - Přerov'!G101+'ORJ - 10 - Prostějov'!G58+'ORJ - 10 - Jeseník'!G51-'ORJ - 10 - Olomouc'!G15</f>
        <v>313484</v>
      </c>
      <c r="E12" s="350">
        <v>0</v>
      </c>
      <c r="F12" s="349">
        <f>SUM(G12:H12)</f>
        <v>314415.09000000003</v>
      </c>
      <c r="G12" s="350">
        <f>'ORJ - 10 - Jeseník'!L51+'ORJ - 10 - Prostějov'!L58+'ORJ - 10 - Přerov'!L101+'ORJ - 10 - Šumperk'!L98+'ORJ - 10 - Olomouc'!L146-'ORJ - 10 - Olomouc'!L15</f>
        <v>314415.09000000003</v>
      </c>
      <c r="H12" s="350">
        <v>0</v>
      </c>
      <c r="I12" s="349">
        <f>SUM(J12:K12)</f>
        <v>299376</v>
      </c>
      <c r="J12" s="350">
        <f>'ORJ - 10 - Jeseník'!Q51+'ORJ - 10 - Prostějov'!Q58+'ORJ - 10 - Přerov'!Q101+'ORJ - 10 - Šumperk'!Q98+'ORJ - 10 - Olomouc'!Q146-'ORJ - 10 - Olomouc'!Q15</f>
        <v>299376</v>
      </c>
      <c r="K12" s="389">
        <v>0</v>
      </c>
      <c r="L12" s="349">
        <f>SUM(M12:N12)</f>
        <v>-14108</v>
      </c>
      <c r="M12" s="350">
        <f>J12-D12</f>
        <v>-14108</v>
      </c>
      <c r="N12" s="389">
        <v>0</v>
      </c>
      <c r="O12" s="613">
        <f t="shared" si="1"/>
        <v>95.499610825432882</v>
      </c>
      <c r="P12" s="614">
        <f t="shared" si="2"/>
        <v>95.499610825432882</v>
      </c>
      <c r="Q12" s="615" t="str">
        <f t="shared" si="3"/>
        <v xml:space="preserve"> </v>
      </c>
    </row>
    <row r="13" spans="2:17" ht="15.95" customHeight="1" x14ac:dyDescent="0.2">
      <c r="B13" s="351" t="s">
        <v>47</v>
      </c>
      <c r="C13" s="349">
        <f>SUM(D13:E13)</f>
        <v>725</v>
      </c>
      <c r="D13" s="350">
        <f>'ORJ - 10 - Olomouc'!H146+'ORJ - 10 - Šumperk'!H98+'ORJ - 10 - Přerov'!H101+'ORJ - 10 - Prostějov'!H58+'ORJ - 10 - Jeseník'!H51</f>
        <v>725</v>
      </c>
      <c r="E13" s="350">
        <v>0</v>
      </c>
      <c r="F13" s="349">
        <f>SUM(G13:H13)</f>
        <v>1066.9100000000001</v>
      </c>
      <c r="G13" s="350">
        <f>'ORJ - 10 - Olomouc'!M146+'ORJ - 10 - Šumperk'!M98+'ORJ - 10 - Přerov'!M101+'ORJ - 10 - Prostějov'!M58+'ORJ - 10 - Jeseník'!M51</f>
        <v>1066.9100000000001</v>
      </c>
      <c r="H13" s="350">
        <v>0</v>
      </c>
      <c r="I13" s="349">
        <f>SUM(J13:K13)</f>
        <v>738</v>
      </c>
      <c r="J13" s="350">
        <f>'ORJ - 10 - Jeseník'!R51+'ORJ - 10 - Prostějov'!R58+'ORJ - 10 - Přerov'!R101+'ORJ - 10 - Šumperk'!R98+'ORJ - 10 - Olomouc'!R146</f>
        <v>738</v>
      </c>
      <c r="K13" s="389">
        <v>0</v>
      </c>
      <c r="L13" s="349">
        <f>SUM(M13:N13)</f>
        <v>13</v>
      </c>
      <c r="M13" s="350">
        <f>J13-D13</f>
        <v>13</v>
      </c>
      <c r="N13" s="389">
        <v>0</v>
      </c>
      <c r="O13" s="613">
        <f t="shared" si="1"/>
        <v>101.79310344827586</v>
      </c>
      <c r="P13" s="614">
        <f t="shared" si="2"/>
        <v>101.79310344827586</v>
      </c>
      <c r="Q13" s="615" t="str">
        <f t="shared" si="3"/>
        <v xml:space="preserve"> </v>
      </c>
    </row>
    <row r="14" spans="2:17" ht="15.95" customHeight="1" x14ac:dyDescent="0.2">
      <c r="B14" s="351" t="s">
        <v>45</v>
      </c>
      <c r="C14" s="349">
        <f>SUM(D14:E14)</f>
        <v>86595</v>
      </c>
      <c r="D14" s="350">
        <f>'ORJ - 10 - Olomouc'!J146+'ORJ - 10 - Šumperk'!J98+'ORJ - 10 - Přerov'!J101+'ORJ - 10 - Prostějov'!J58+'ORJ - 10 - Jeseník'!J51</f>
        <v>86595</v>
      </c>
      <c r="E14" s="350">
        <v>0</v>
      </c>
      <c r="F14" s="349">
        <f>SUM(G14:H14)</f>
        <v>86595</v>
      </c>
      <c r="G14" s="350">
        <f>'ORJ - 10 - Olomouc'!O146+'ORJ - 10 - Šumperk'!O98+'ORJ - 10 - Přerov'!O101+'ORJ - 10 - Prostějov'!O58+'ORJ - 10 - Jeseník'!O51</f>
        <v>86595</v>
      </c>
      <c r="H14" s="350">
        <v>0</v>
      </c>
      <c r="I14" s="349">
        <f>SUM(J14:K14)</f>
        <v>88713</v>
      </c>
      <c r="J14" s="350">
        <f>'ORJ - 10 - Jeseník'!T51+'ORJ - 10 - Prostějov'!T58+'ORJ - 10 - Přerov'!T101+'ORJ - 10 - Šumperk'!T98+'ORJ - 10 - Olomouc'!T146</f>
        <v>88713</v>
      </c>
      <c r="K14" s="389">
        <v>0</v>
      </c>
      <c r="L14" s="349">
        <f>SUM(M14:N14)</f>
        <v>2118</v>
      </c>
      <c r="M14" s="350">
        <f>J14-D14</f>
        <v>2118</v>
      </c>
      <c r="N14" s="389">
        <v>0</v>
      </c>
      <c r="O14" s="613">
        <f t="shared" si="1"/>
        <v>102.44586869911659</v>
      </c>
      <c r="P14" s="614">
        <f t="shared" si="2"/>
        <v>102.44586869911659</v>
      </c>
      <c r="Q14" s="615" t="str">
        <f t="shared" si="3"/>
        <v xml:space="preserve"> </v>
      </c>
    </row>
    <row r="15" spans="2:17" ht="15.95" customHeight="1" x14ac:dyDescent="0.2">
      <c r="B15" s="351" t="s">
        <v>44</v>
      </c>
      <c r="C15" s="349">
        <v>1100</v>
      </c>
      <c r="D15" s="350">
        <f>'ORJ - 10 - Olomouc'!G15</f>
        <v>1100</v>
      </c>
      <c r="E15" s="350">
        <v>0</v>
      </c>
      <c r="F15" s="349">
        <f>SUM(G15:H15)</f>
        <v>693.91</v>
      </c>
      <c r="G15" s="350">
        <f>'ORJ - 10 - Olomouc'!L15</f>
        <v>693.91</v>
      </c>
      <c r="H15" s="350">
        <v>0</v>
      </c>
      <c r="I15" s="349">
        <f>SUM(J15:K15)</f>
        <v>466</v>
      </c>
      <c r="J15" s="350">
        <f>'ORJ - 10 - Olomouc'!Q15</f>
        <v>466</v>
      </c>
      <c r="K15" s="389">
        <v>0</v>
      </c>
      <c r="L15" s="349">
        <f>SUM(M15:N15)</f>
        <v>-634</v>
      </c>
      <c r="M15" s="350">
        <f>J15-D15</f>
        <v>-634</v>
      </c>
      <c r="N15" s="389">
        <v>0</v>
      </c>
      <c r="O15" s="613">
        <f t="shared" si="1"/>
        <v>42.363636363636367</v>
      </c>
      <c r="P15" s="614">
        <f t="shared" si="2"/>
        <v>42.363636363636367</v>
      </c>
      <c r="Q15" s="615" t="str">
        <f t="shared" si="3"/>
        <v xml:space="preserve"> </v>
      </c>
    </row>
    <row r="16" spans="2:17" ht="15.95" customHeight="1" thickBot="1" x14ac:dyDescent="0.3">
      <c r="B16" s="346" t="s">
        <v>41</v>
      </c>
      <c r="C16" s="344">
        <f>SUM(D16:E16)</f>
        <v>401904</v>
      </c>
      <c r="D16" s="345">
        <f>SUM(D12:D15)</f>
        <v>401904</v>
      </c>
      <c r="E16" s="345">
        <v>0</v>
      </c>
      <c r="F16" s="344">
        <f>SUM(G16:H16)</f>
        <v>402770.91</v>
      </c>
      <c r="G16" s="345">
        <f>SUM(G12:G15)</f>
        <v>402770.91</v>
      </c>
      <c r="H16" s="345">
        <v>0</v>
      </c>
      <c r="I16" s="344">
        <f>SUM(J16:K16)</f>
        <v>389293</v>
      </c>
      <c r="J16" s="345">
        <f>SUM(J12:J15)</f>
        <v>389293</v>
      </c>
      <c r="K16" s="388">
        <v>0</v>
      </c>
      <c r="L16" s="344">
        <f>SUM(M16:N16)</f>
        <v>-12611</v>
      </c>
      <c r="M16" s="345">
        <f>SUM(M12:M15)</f>
        <v>-12611</v>
      </c>
      <c r="N16" s="388">
        <v>0</v>
      </c>
      <c r="O16" s="616">
        <f t="shared" si="1"/>
        <v>96.862185994665396</v>
      </c>
      <c r="P16" s="617">
        <f t="shared" si="2"/>
        <v>96.862185994665396</v>
      </c>
      <c r="Q16" s="618" t="str">
        <f t="shared" si="3"/>
        <v xml:space="preserve"> </v>
      </c>
    </row>
    <row r="17" spans="2:17" x14ac:dyDescent="0.2">
      <c r="B17" s="381"/>
      <c r="C17" s="352"/>
      <c r="D17" s="348"/>
      <c r="E17" s="348"/>
      <c r="F17" s="352"/>
      <c r="G17" s="348"/>
      <c r="H17" s="348"/>
      <c r="I17" s="352"/>
      <c r="J17" s="348"/>
      <c r="K17" s="347"/>
      <c r="L17" s="352"/>
      <c r="M17" s="348"/>
      <c r="N17" s="347"/>
      <c r="O17" s="623" t="str">
        <f t="shared" si="1"/>
        <v xml:space="preserve"> </v>
      </c>
      <c r="P17" s="624" t="str">
        <f t="shared" si="2"/>
        <v xml:space="preserve"> </v>
      </c>
      <c r="Q17" s="625" t="str">
        <f t="shared" si="3"/>
        <v xml:space="preserve"> </v>
      </c>
    </row>
    <row r="18" spans="2:17" ht="15.95" customHeight="1" x14ac:dyDescent="0.25">
      <c r="B18" s="387" t="s">
        <v>42</v>
      </c>
      <c r="C18" s="384">
        <f>SUM(D18:E18)</f>
        <v>95</v>
      </c>
      <c r="D18" s="386">
        <f>'ORJ - 10 - Olomouc'!I146</f>
        <v>95</v>
      </c>
      <c r="E18" s="386">
        <v>0</v>
      </c>
      <c r="F18" s="384">
        <v>95</v>
      </c>
      <c r="G18" s="386">
        <f>'ORJ - 10 - Olomouc'!N146</f>
        <v>95</v>
      </c>
      <c r="H18" s="386">
        <v>0</v>
      </c>
      <c r="I18" s="384">
        <v>101</v>
      </c>
      <c r="J18" s="386">
        <f>'ORJ - 10 - Olomouc'!S146</f>
        <v>101</v>
      </c>
      <c r="K18" s="385">
        <v>0</v>
      </c>
      <c r="L18" s="384">
        <f>SUM(M18:N18)</f>
        <v>6</v>
      </c>
      <c r="M18" s="383">
        <f>J18-D18</f>
        <v>6</v>
      </c>
      <c r="N18" s="382">
        <v>0</v>
      </c>
      <c r="O18" s="626">
        <f t="shared" si="1"/>
        <v>106.31578947368421</v>
      </c>
      <c r="P18" s="627">
        <f t="shared" si="2"/>
        <v>106.31578947368421</v>
      </c>
      <c r="Q18" s="628" t="str">
        <f t="shared" si="3"/>
        <v xml:space="preserve"> </v>
      </c>
    </row>
    <row r="19" spans="2:17" ht="13.5" thickBot="1" x14ac:dyDescent="0.25">
      <c r="B19" s="381"/>
      <c r="C19" s="352"/>
      <c r="D19" s="348"/>
      <c r="E19" s="348"/>
      <c r="F19" s="352"/>
      <c r="G19" s="348"/>
      <c r="H19" s="348"/>
      <c r="I19" s="352"/>
      <c r="J19" s="348"/>
      <c r="K19" s="347"/>
      <c r="L19" s="352"/>
      <c r="M19" s="348"/>
      <c r="N19" s="347"/>
      <c r="O19" s="623" t="str">
        <f t="shared" si="1"/>
        <v xml:space="preserve"> </v>
      </c>
      <c r="P19" s="624" t="str">
        <f t="shared" si="2"/>
        <v xml:space="preserve"> </v>
      </c>
      <c r="Q19" s="625" t="str">
        <f t="shared" si="3"/>
        <v xml:space="preserve"> </v>
      </c>
    </row>
    <row r="20" spans="2:17" ht="15.95" customHeight="1" thickBot="1" x14ac:dyDescent="0.3">
      <c r="B20" s="380" t="s">
        <v>41</v>
      </c>
      <c r="C20" s="377">
        <f>SUM(D20:E20)</f>
        <v>401999</v>
      </c>
      <c r="D20" s="379">
        <f>D16+D18</f>
        <v>401999</v>
      </c>
      <c r="E20" s="379">
        <f>E16+E18</f>
        <v>0</v>
      </c>
      <c r="F20" s="377">
        <f>SUM(G20:H20)</f>
        <v>402865.91</v>
      </c>
      <c r="G20" s="379">
        <f>G16+G18</f>
        <v>402865.91</v>
      </c>
      <c r="H20" s="379">
        <f>H16+H18</f>
        <v>0</v>
      </c>
      <c r="I20" s="377">
        <f>SUM(J20:K20)</f>
        <v>389394</v>
      </c>
      <c r="J20" s="379">
        <f>J16+J18</f>
        <v>389394</v>
      </c>
      <c r="K20" s="378">
        <f>K16+K18</f>
        <v>0</v>
      </c>
      <c r="L20" s="377">
        <f>SUM(M20:N20)</f>
        <v>-12605</v>
      </c>
      <c r="M20" s="376">
        <f>M18+M16</f>
        <v>-12605</v>
      </c>
      <c r="N20" s="375">
        <v>0</v>
      </c>
      <c r="O20" s="620">
        <f t="shared" si="1"/>
        <v>96.864420060746411</v>
      </c>
      <c r="P20" s="629">
        <f t="shared" si="2"/>
        <v>96.864420060746411</v>
      </c>
      <c r="Q20" s="630" t="str">
        <f t="shared" si="3"/>
        <v xml:space="preserve"> </v>
      </c>
    </row>
    <row r="21" spans="2:17" ht="15.95" hidden="1" customHeight="1" x14ac:dyDescent="0.25">
      <c r="B21" s="448"/>
      <c r="C21" s="451"/>
      <c r="D21" s="452"/>
      <c r="E21" s="451" t="s">
        <v>603</v>
      </c>
      <c r="F21" s="451"/>
      <c r="G21" s="452"/>
      <c r="H21" s="452"/>
      <c r="I21" s="451">
        <v>388394</v>
      </c>
      <c r="J21" s="450"/>
      <c r="K21" s="450"/>
      <c r="L21" s="449"/>
      <c r="M21" s="268"/>
      <c r="N21" s="268"/>
      <c r="O21" s="451">
        <v>388394</v>
      </c>
      <c r="P21" s="450"/>
      <c r="Q21" s="450"/>
    </row>
    <row r="22" spans="2:17" ht="15.95" hidden="1" customHeight="1" thickBot="1" x14ac:dyDescent="0.3">
      <c r="B22" s="448"/>
      <c r="C22" s="453"/>
      <c r="D22" s="454"/>
      <c r="E22" s="453"/>
      <c r="F22" s="453" t="s">
        <v>604</v>
      </c>
      <c r="G22" s="454"/>
      <c r="H22" s="454"/>
      <c r="I22" s="453">
        <f>-I21+I20</f>
        <v>1000</v>
      </c>
      <c r="J22" s="450"/>
      <c r="K22" s="450"/>
      <c r="L22" s="449"/>
      <c r="M22" s="268"/>
      <c r="N22" s="268"/>
      <c r="O22" s="453">
        <f>-O21+O20</f>
        <v>-388297.13557993923</v>
      </c>
      <c r="P22" s="450"/>
      <c r="Q22" s="450"/>
    </row>
    <row r="23" spans="2:17" s="418" customFormat="1" ht="27" hidden="1" customHeight="1" thickTop="1" x14ac:dyDescent="0.2">
      <c r="B23" s="418" t="s">
        <v>592</v>
      </c>
    </row>
    <row r="24" spans="2:17" s="418" customFormat="1" ht="27" customHeight="1" x14ac:dyDescent="0.2"/>
    <row r="25" spans="2:17" x14ac:dyDescent="0.2">
      <c r="B25" s="84" t="s">
        <v>209</v>
      </c>
      <c r="C25" s="39"/>
      <c r="D25" s="39"/>
      <c r="E25" s="39"/>
      <c r="F25" s="39"/>
      <c r="G25" s="39"/>
      <c r="H25" s="39"/>
      <c r="I25" s="39"/>
      <c r="J25" s="39"/>
      <c r="K25" s="39"/>
      <c r="O25" s="39"/>
      <c r="P25" s="39"/>
      <c r="Q25" s="39"/>
    </row>
    <row r="26" spans="2:17" x14ac:dyDescent="0.2">
      <c r="B26" s="84"/>
      <c r="C26" s="39"/>
      <c r="D26" s="39"/>
      <c r="E26" s="39"/>
      <c r="F26" s="39"/>
      <c r="G26" s="39"/>
      <c r="H26" s="39"/>
      <c r="I26" s="39"/>
      <c r="J26" s="39"/>
      <c r="K26" s="39"/>
      <c r="O26" s="39"/>
      <c r="P26" s="39"/>
      <c r="Q26" s="39"/>
    </row>
    <row r="27" spans="2:17" x14ac:dyDescent="0.2">
      <c r="B27" s="688" t="s">
        <v>606</v>
      </c>
      <c r="C27" s="689"/>
      <c r="D27" s="689"/>
      <c r="E27" s="689"/>
      <c r="F27" s="689"/>
      <c r="G27" s="689"/>
      <c r="H27" s="689"/>
      <c r="I27" s="689"/>
      <c r="J27" s="689"/>
      <c r="K27" s="689"/>
    </row>
    <row r="28" spans="2:17" ht="6" customHeight="1" x14ac:dyDescent="0.2">
      <c r="B28" s="697"/>
      <c r="C28" s="698"/>
      <c r="D28" s="698"/>
      <c r="E28" s="698"/>
      <c r="F28" s="698"/>
      <c r="G28" s="698"/>
      <c r="H28" s="698"/>
      <c r="I28" s="698"/>
      <c r="J28" s="698"/>
      <c r="K28" s="374"/>
      <c r="Q28" s="619"/>
    </row>
    <row r="29" spans="2:17" ht="14.25" x14ac:dyDescent="0.2">
      <c r="B29" s="365" t="s">
        <v>569</v>
      </c>
      <c r="C29" s="132"/>
      <c r="D29" s="132"/>
      <c r="E29" s="132"/>
      <c r="F29" s="132"/>
      <c r="G29" s="132"/>
      <c r="H29" s="132"/>
      <c r="I29" s="132"/>
      <c r="J29" s="132"/>
      <c r="K29" s="132"/>
      <c r="O29" s="132"/>
      <c r="P29" s="132"/>
      <c r="Q29" s="132"/>
    </row>
    <row r="30" spans="2:17" ht="3.75" customHeight="1" x14ac:dyDescent="0.2">
      <c r="B30" s="39"/>
      <c r="C30" s="39"/>
      <c r="D30" s="39"/>
      <c r="E30" s="39"/>
      <c r="F30" s="39"/>
      <c r="G30" s="39"/>
      <c r="H30" s="39"/>
      <c r="I30" s="39"/>
      <c r="J30" s="39"/>
      <c r="K30" s="39"/>
      <c r="O30" s="39"/>
      <c r="P30" s="39"/>
      <c r="Q30" s="39"/>
    </row>
    <row r="31" spans="2:17" x14ac:dyDescent="0.2">
      <c r="B31" s="363" t="s">
        <v>208</v>
      </c>
      <c r="C31" s="365"/>
      <c r="D31" s="365"/>
      <c r="E31" s="699" t="s">
        <v>607</v>
      </c>
      <c r="F31" s="699"/>
      <c r="G31" s="127"/>
      <c r="H31" s="39"/>
      <c r="I31" s="39"/>
      <c r="J31" s="39"/>
      <c r="K31" s="39"/>
      <c r="O31" s="39"/>
      <c r="P31" s="39"/>
      <c r="Q31" s="39"/>
    </row>
    <row r="32" spans="2:17" x14ac:dyDescent="0.2">
      <c r="B32" s="700" t="s">
        <v>437</v>
      </c>
      <c r="C32" s="701"/>
      <c r="D32" s="701"/>
      <c r="E32" s="699" t="s">
        <v>568</v>
      </c>
      <c r="F32" s="699"/>
      <c r="G32" s="39"/>
      <c r="H32" s="39"/>
      <c r="I32" s="39"/>
      <c r="J32" s="39"/>
      <c r="K32" s="39"/>
      <c r="O32" s="39"/>
      <c r="P32" s="39"/>
      <c r="Q32" s="39"/>
    </row>
    <row r="33" spans="2:17" x14ac:dyDescent="0.2">
      <c r="B33" s="363" t="s">
        <v>207</v>
      </c>
      <c r="C33" s="365"/>
      <c r="D33" s="365"/>
      <c r="E33" s="699" t="s">
        <v>578</v>
      </c>
      <c r="F33" s="699"/>
      <c r="G33" s="39"/>
      <c r="H33" s="39"/>
      <c r="I33" s="39"/>
      <c r="J33" s="39"/>
      <c r="K33" s="39"/>
      <c r="O33" s="39"/>
      <c r="P33" s="39"/>
      <c r="Q33" s="39"/>
    </row>
    <row r="34" spans="2:17" x14ac:dyDescent="0.2">
      <c r="B34" s="363" t="s">
        <v>206</v>
      </c>
      <c r="C34" s="365"/>
      <c r="D34" s="365"/>
      <c r="E34" s="373"/>
      <c r="F34" s="373" t="s">
        <v>567</v>
      </c>
      <c r="G34" s="39"/>
      <c r="H34" s="39"/>
      <c r="I34" s="39"/>
      <c r="J34" s="39"/>
      <c r="K34" s="39"/>
      <c r="O34" s="39"/>
      <c r="P34" s="39"/>
      <c r="Q34" s="39"/>
    </row>
    <row r="35" spans="2:17" x14ac:dyDescent="0.2">
      <c r="B35" s="363" t="s">
        <v>630</v>
      </c>
      <c r="C35" s="365"/>
      <c r="D35" s="365"/>
      <c r="E35" s="465"/>
      <c r="F35" s="465" t="s">
        <v>631</v>
      </c>
      <c r="G35" s="127"/>
      <c r="H35" s="39"/>
      <c r="I35" s="39"/>
      <c r="J35" s="39"/>
      <c r="K35" s="39"/>
      <c r="O35" s="39"/>
      <c r="P35" s="39"/>
      <c r="Q35" s="39"/>
    </row>
    <row r="36" spans="2:17" hidden="1" x14ac:dyDescent="0.2">
      <c r="B36" s="363"/>
      <c r="C36" s="372"/>
      <c r="D36" s="372"/>
      <c r="E36" s="362"/>
      <c r="F36" s="362"/>
      <c r="G36" s="39"/>
      <c r="H36" s="39"/>
      <c r="I36" s="39"/>
      <c r="J36" s="39"/>
      <c r="K36" s="39"/>
      <c r="O36" s="39"/>
      <c r="P36" s="39"/>
      <c r="Q36" s="39"/>
    </row>
    <row r="37" spans="2:17" x14ac:dyDescent="0.2">
      <c r="B37" s="367" t="s">
        <v>205</v>
      </c>
      <c r="C37" s="371"/>
      <c r="D37" s="371"/>
      <c r="E37" s="371"/>
      <c r="F37" s="371"/>
      <c r="G37" s="371"/>
      <c r="H37" s="371"/>
      <c r="I37" s="371"/>
      <c r="J37" s="371"/>
      <c r="K37" s="371"/>
      <c r="O37" s="371"/>
      <c r="P37" s="371"/>
      <c r="Q37" s="371"/>
    </row>
    <row r="38" spans="2:17" x14ac:dyDescent="0.2">
      <c r="B38" s="673" t="s">
        <v>608</v>
      </c>
      <c r="C38" s="702"/>
      <c r="D38" s="702"/>
      <c r="E38" s="702"/>
      <c r="F38" s="702"/>
      <c r="G38" s="702"/>
      <c r="H38" s="702"/>
      <c r="I38" s="702"/>
      <c r="J38" s="702"/>
      <c r="K38" s="702"/>
    </row>
    <row r="39" spans="2:17" x14ac:dyDescent="0.2">
      <c r="B39" s="703"/>
      <c r="C39" s="702"/>
      <c r="D39" s="702"/>
      <c r="E39" s="702"/>
      <c r="F39" s="702"/>
      <c r="G39" s="702"/>
      <c r="H39" s="702"/>
      <c r="I39" s="702"/>
      <c r="J39" s="702"/>
      <c r="K39" s="702"/>
    </row>
    <row r="40" spans="2:17" x14ac:dyDescent="0.2">
      <c r="B40" s="367" t="s">
        <v>204</v>
      </c>
      <c r="C40" s="369"/>
      <c r="D40" s="369"/>
      <c r="E40" s="369"/>
      <c r="F40" s="369"/>
      <c r="G40" s="369"/>
      <c r="H40" s="369"/>
      <c r="I40" s="370"/>
      <c r="J40" s="369"/>
      <c r="K40" s="362"/>
      <c r="O40" s="370"/>
      <c r="P40" s="369"/>
      <c r="Q40" s="362"/>
    </row>
    <row r="41" spans="2:17" ht="27.75" customHeight="1" x14ac:dyDescent="0.2">
      <c r="B41" s="670" t="s">
        <v>629</v>
      </c>
      <c r="C41" s="671"/>
      <c r="D41" s="671"/>
      <c r="E41" s="671"/>
      <c r="F41" s="671"/>
      <c r="G41" s="671"/>
      <c r="H41" s="671"/>
      <c r="I41" s="671"/>
      <c r="J41" s="671"/>
      <c r="K41" s="671"/>
      <c r="L41" s="672"/>
      <c r="M41" s="672"/>
      <c r="N41" s="672"/>
      <c r="O41" s="672"/>
      <c r="P41" s="672"/>
      <c r="Q41" s="672"/>
    </row>
    <row r="42" spans="2:17" x14ac:dyDescent="0.2">
      <c r="B42" s="687" t="s">
        <v>203</v>
      </c>
      <c r="C42" s="675"/>
      <c r="D42" s="675"/>
      <c r="E42" s="675"/>
      <c r="F42" s="675"/>
      <c r="G42" s="675"/>
      <c r="H42" s="675"/>
      <c r="I42" s="675"/>
      <c r="J42" s="675"/>
      <c r="K42" s="675"/>
    </row>
    <row r="43" spans="2:17" x14ac:dyDescent="0.2">
      <c r="B43" s="687" t="s">
        <v>202</v>
      </c>
      <c r="C43" s="687"/>
      <c r="D43" s="687"/>
      <c r="E43" s="687"/>
      <c r="F43" s="687"/>
      <c r="G43" s="687"/>
      <c r="H43" s="687"/>
      <c r="I43" s="687"/>
      <c r="J43" s="687"/>
      <c r="K43" s="362"/>
      <c r="Q43" s="362"/>
    </row>
    <row r="44" spans="2:17" x14ac:dyDescent="0.2">
      <c r="B44" s="687" t="s">
        <v>201</v>
      </c>
      <c r="C44" s="687"/>
      <c r="D44" s="687"/>
      <c r="E44" s="687"/>
      <c r="F44" s="687"/>
      <c r="G44" s="687"/>
      <c r="H44" s="687"/>
      <c r="I44" s="687"/>
      <c r="J44" s="687"/>
      <c r="K44" s="365"/>
      <c r="Q44" s="365"/>
    </row>
    <row r="45" spans="2:17" x14ac:dyDescent="0.2">
      <c r="B45" s="687" t="s">
        <v>200</v>
      </c>
      <c r="C45" s="687"/>
      <c r="D45" s="687"/>
      <c r="E45" s="687"/>
      <c r="F45" s="687"/>
      <c r="G45" s="687"/>
      <c r="H45" s="687"/>
      <c r="I45" s="687"/>
      <c r="J45" s="687"/>
      <c r="K45" s="39"/>
      <c r="Q45" s="39"/>
    </row>
    <row r="46" spans="2:17" x14ac:dyDescent="0.2">
      <c r="B46" s="687" t="s">
        <v>566</v>
      </c>
      <c r="C46" s="687"/>
      <c r="D46" s="687"/>
      <c r="E46" s="687"/>
      <c r="F46" s="687"/>
      <c r="G46" s="687"/>
      <c r="H46" s="687"/>
      <c r="I46" s="687"/>
      <c r="J46" s="687"/>
      <c r="K46" s="39"/>
      <c r="Q46" s="39"/>
    </row>
    <row r="47" spans="2:17" x14ac:dyDescent="0.2">
      <c r="B47" s="709" t="s">
        <v>494</v>
      </c>
      <c r="C47" s="675"/>
      <c r="D47" s="675"/>
      <c r="E47" s="675"/>
      <c r="F47" s="675"/>
      <c r="G47" s="675"/>
      <c r="H47" s="675"/>
      <c r="I47" s="675"/>
      <c r="J47" s="675"/>
      <c r="K47" s="675"/>
    </row>
    <row r="48" spans="2:17" x14ac:dyDescent="0.2">
      <c r="B48" s="709" t="s">
        <v>565</v>
      </c>
      <c r="C48" s="675"/>
      <c r="D48" s="675"/>
      <c r="E48" s="675"/>
      <c r="F48" s="675"/>
      <c r="G48" s="675"/>
      <c r="H48" s="675"/>
      <c r="I48" s="675"/>
      <c r="J48" s="675"/>
      <c r="K48" s="675"/>
    </row>
    <row r="49" spans="2:17" x14ac:dyDescent="0.2">
      <c r="B49" s="367" t="s">
        <v>199</v>
      </c>
      <c r="C49" s="39"/>
      <c r="D49" s="39"/>
      <c r="E49" s="39"/>
      <c r="F49" s="39"/>
      <c r="G49" s="39"/>
      <c r="H49" s="39"/>
      <c r="I49" s="39"/>
      <c r="J49" s="39"/>
      <c r="K49" s="362"/>
      <c r="O49" s="39"/>
      <c r="P49" s="39"/>
      <c r="Q49" s="362"/>
    </row>
    <row r="50" spans="2:17" x14ac:dyDescent="0.2">
      <c r="B50" s="673" t="s">
        <v>640</v>
      </c>
      <c r="C50" s="674"/>
      <c r="D50" s="674"/>
      <c r="E50" s="674"/>
      <c r="F50" s="674"/>
      <c r="G50" s="674"/>
      <c r="H50" s="674"/>
      <c r="I50" s="674"/>
      <c r="J50" s="674"/>
      <c r="K50" s="674"/>
      <c r="L50" s="675"/>
      <c r="M50" s="675"/>
      <c r="N50" s="675"/>
      <c r="O50" s="675"/>
      <c r="P50" s="675"/>
      <c r="Q50" s="675"/>
    </row>
    <row r="51" spans="2:17" ht="12" customHeight="1" x14ac:dyDescent="0.2">
      <c r="B51" s="675"/>
      <c r="C51" s="675"/>
      <c r="D51" s="675"/>
      <c r="E51" s="675"/>
      <c r="F51" s="675"/>
      <c r="G51" s="675"/>
      <c r="H51" s="675"/>
      <c r="I51" s="675"/>
      <c r="J51" s="675"/>
      <c r="K51" s="675"/>
      <c r="L51" s="675"/>
      <c r="M51" s="675"/>
      <c r="N51" s="675"/>
      <c r="O51" s="675"/>
      <c r="P51" s="675"/>
      <c r="Q51" s="675"/>
    </row>
    <row r="52" spans="2:17" x14ac:dyDescent="0.2">
      <c r="B52" s="368"/>
      <c r="C52" s="368"/>
      <c r="D52" s="368"/>
      <c r="E52" s="368"/>
      <c r="F52" s="368"/>
      <c r="G52" s="368"/>
      <c r="H52" s="368"/>
      <c r="I52" s="368"/>
      <c r="J52" s="368"/>
      <c r="K52" s="368"/>
      <c r="O52" s="368"/>
      <c r="P52" s="368"/>
      <c r="Q52" s="368"/>
    </row>
    <row r="53" spans="2:17" hidden="1" x14ac:dyDescent="0.2">
      <c r="B53" s="368"/>
      <c r="C53" s="368"/>
      <c r="D53" s="368"/>
      <c r="E53" s="368"/>
      <c r="F53" s="368"/>
      <c r="G53" s="368"/>
      <c r="H53" s="368"/>
      <c r="I53" s="368"/>
      <c r="J53" s="368"/>
      <c r="K53" s="368"/>
      <c r="O53" s="368"/>
      <c r="P53" s="368"/>
      <c r="Q53" s="368"/>
    </row>
    <row r="54" spans="2:17" hidden="1" x14ac:dyDescent="0.2">
      <c r="B54" s="368"/>
      <c r="C54" s="368"/>
      <c r="D54" s="368"/>
      <c r="E54" s="368"/>
      <c r="F54" s="368"/>
      <c r="G54" s="368"/>
      <c r="H54" s="368"/>
      <c r="I54" s="368"/>
      <c r="J54" s="368"/>
      <c r="K54" s="368"/>
      <c r="O54" s="368"/>
      <c r="P54" s="368"/>
      <c r="Q54" s="368"/>
    </row>
    <row r="55" spans="2:17" x14ac:dyDescent="0.2">
      <c r="B55" s="367" t="s">
        <v>198</v>
      </c>
      <c r="C55" s="365"/>
      <c r="D55" s="365"/>
      <c r="E55" s="365"/>
      <c r="F55" s="365"/>
      <c r="G55" s="365"/>
      <c r="H55" s="365"/>
      <c r="I55" s="365"/>
      <c r="J55" s="365"/>
      <c r="K55" s="365"/>
      <c r="O55" s="365"/>
      <c r="P55" s="365"/>
      <c r="Q55" s="365"/>
    </row>
    <row r="56" spans="2:17" x14ac:dyDescent="0.2">
      <c r="B56" s="673" t="s">
        <v>579</v>
      </c>
      <c r="C56" s="675"/>
      <c r="D56" s="675"/>
      <c r="E56" s="675"/>
      <c r="F56" s="675"/>
      <c r="G56" s="675"/>
      <c r="H56" s="675"/>
      <c r="I56" s="675"/>
      <c r="J56" s="675"/>
      <c r="K56" s="675"/>
    </row>
    <row r="57" spans="2:17" x14ac:dyDescent="0.2">
      <c r="B57" s="704" t="s">
        <v>605</v>
      </c>
      <c r="C57" s="704"/>
      <c r="D57" s="704"/>
      <c r="E57" s="705"/>
      <c r="F57" s="705"/>
      <c r="G57" s="705"/>
      <c r="H57" s="705"/>
      <c r="I57" s="705"/>
      <c r="J57" s="705"/>
      <c r="K57" s="705"/>
    </row>
    <row r="58" spans="2:17" x14ac:dyDescent="0.2">
      <c r="B58" s="706"/>
      <c r="C58" s="707"/>
      <c r="D58" s="707"/>
      <c r="E58" s="707"/>
      <c r="F58" s="707"/>
      <c r="G58" s="707"/>
      <c r="H58" s="39"/>
      <c r="I58" s="39"/>
      <c r="J58" s="39"/>
      <c r="K58" s="39"/>
      <c r="O58" s="39"/>
      <c r="P58" s="39"/>
      <c r="Q58" s="39"/>
    </row>
    <row r="59" spans="2:17" x14ac:dyDescent="0.2">
      <c r="B59" s="366"/>
      <c r="C59" s="39"/>
      <c r="D59" s="39"/>
      <c r="E59" s="39"/>
      <c r="F59" s="39"/>
      <c r="G59" s="39"/>
      <c r="H59" s="39"/>
      <c r="I59" s="39"/>
      <c r="J59" s="39"/>
      <c r="K59" s="39"/>
      <c r="O59" s="39"/>
      <c r="P59" s="39"/>
      <c r="Q59" s="39"/>
    </row>
    <row r="60" spans="2:17" x14ac:dyDescent="0.2">
      <c r="B60" s="708"/>
      <c r="C60" s="708"/>
      <c r="D60" s="708"/>
      <c r="E60" s="365"/>
      <c r="F60" s="365"/>
      <c r="G60" s="365"/>
      <c r="H60" s="365"/>
      <c r="I60" s="365"/>
      <c r="J60" s="365"/>
      <c r="K60" s="365"/>
      <c r="O60" s="365"/>
      <c r="P60" s="365"/>
      <c r="Q60" s="365"/>
    </row>
    <row r="61" spans="2:17" x14ac:dyDescent="0.2">
      <c r="B61" s="39"/>
      <c r="C61" s="364"/>
      <c r="D61" s="363"/>
      <c r="E61" s="362"/>
      <c r="F61" s="362"/>
      <c r="G61" s="362"/>
      <c r="H61" s="362"/>
      <c r="I61" s="362"/>
      <c r="J61" s="362"/>
      <c r="K61" s="362"/>
      <c r="O61" s="362"/>
      <c r="P61" s="362"/>
      <c r="Q61" s="362"/>
    </row>
  </sheetData>
  <mergeCells count="39">
    <mergeCell ref="B57:K57"/>
    <mergeCell ref="B58:G58"/>
    <mergeCell ref="B60:D60"/>
    <mergeCell ref="B45:J45"/>
    <mergeCell ref="B46:J46"/>
    <mergeCell ref="B47:K47"/>
    <mergeCell ref="B48:K48"/>
    <mergeCell ref="B38:K38"/>
    <mergeCell ref="B42:K42"/>
    <mergeCell ref="B43:J43"/>
    <mergeCell ref="B39:K39"/>
    <mergeCell ref="B56:K56"/>
    <mergeCell ref="B28:J28"/>
    <mergeCell ref="E31:F31"/>
    <mergeCell ref="B32:D32"/>
    <mergeCell ref="E32:F32"/>
    <mergeCell ref="E33:F33"/>
    <mergeCell ref="L3:N3"/>
    <mergeCell ref="L4:N4"/>
    <mergeCell ref="C6:E6"/>
    <mergeCell ref="F6:H6"/>
    <mergeCell ref="I6:K6"/>
    <mergeCell ref="L6:N6"/>
    <mergeCell ref="O6:Q6"/>
    <mergeCell ref="O7:O8"/>
    <mergeCell ref="P7:Q7"/>
    <mergeCell ref="B41:Q41"/>
    <mergeCell ref="B50:Q51"/>
    <mergeCell ref="J7:K7"/>
    <mergeCell ref="L7:L8"/>
    <mergeCell ref="M7:N7"/>
    <mergeCell ref="B7:B8"/>
    <mergeCell ref="C7:C8"/>
    <mergeCell ref="D7:E7"/>
    <mergeCell ref="F7:F8"/>
    <mergeCell ref="G7:H7"/>
    <mergeCell ref="I7:I8"/>
    <mergeCell ref="B44:J44"/>
    <mergeCell ref="B27:K27"/>
  </mergeCells>
  <pageMargins left="0.70866141732283472" right="0.70866141732283472" top="0.78740157480314965" bottom="0.78740157480314965" header="0.31496062992125984" footer="0.31496062992125984"/>
  <pageSetup paperSize="9" scale="70"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D147"/>
  <sheetViews>
    <sheetView showGridLines="0" zoomScaleNormal="100" workbookViewId="0">
      <selection activeCell="Z14" sqref="Z14"/>
    </sheetView>
  </sheetViews>
  <sheetFormatPr defaultRowHeight="12.75" x14ac:dyDescent="0.2"/>
  <cols>
    <col min="1" max="1" width="2.7109375" customWidth="1"/>
    <col min="2" max="2" width="14.7109375" customWidth="1"/>
    <col min="3" max="3" width="6.7109375" customWidth="1"/>
    <col min="4" max="4" width="10.7109375" hidden="1" customWidth="1"/>
    <col min="5" max="5" width="45.7109375" customWidth="1"/>
    <col min="6" max="6" width="12.7109375" style="1" customWidth="1"/>
    <col min="7" max="10" width="9.7109375" style="1"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30" width="9.7109375" style="1" customWidth="1"/>
  </cols>
  <sheetData>
    <row r="2" spans="2:30" ht="21.75" x14ac:dyDescent="0.3">
      <c r="B2" s="2" t="s">
        <v>177</v>
      </c>
      <c r="C2" s="3"/>
      <c r="D2" s="3"/>
      <c r="E2" s="3"/>
      <c r="F2" s="4"/>
      <c r="G2" s="4"/>
      <c r="H2" s="4"/>
      <c r="I2" s="4"/>
      <c r="J2" s="4"/>
      <c r="K2" s="5"/>
      <c r="L2" s="5"/>
      <c r="M2" s="5"/>
      <c r="N2" s="5"/>
      <c r="O2" s="5"/>
      <c r="P2" s="5"/>
      <c r="Q2" s="5"/>
      <c r="R2" s="5"/>
      <c r="S2" s="5"/>
      <c r="T2" s="5"/>
      <c r="U2" s="5"/>
      <c r="V2" s="5"/>
      <c r="W2" s="6" t="s">
        <v>284</v>
      </c>
      <c r="X2" s="5"/>
      <c r="Y2" s="5" t="s">
        <v>211</v>
      </c>
      <c r="Z2" s="5"/>
      <c r="AA2" s="5"/>
      <c r="AB2" s="6" t="s">
        <v>284</v>
      </c>
      <c r="AC2" s="5"/>
      <c r="AD2" s="5" t="s">
        <v>211</v>
      </c>
    </row>
    <row r="3" spans="2:30" ht="15.75" x14ac:dyDescent="0.25">
      <c r="B3" s="7" t="s">
        <v>2</v>
      </c>
      <c r="C3" s="7" t="s">
        <v>283</v>
      </c>
      <c r="D3" s="8"/>
      <c r="E3" s="9"/>
      <c r="F3" s="10"/>
      <c r="G3" s="10"/>
      <c r="H3" s="10"/>
      <c r="I3" s="10"/>
      <c r="J3" s="10"/>
      <c r="K3" s="11"/>
      <c r="L3" s="11"/>
      <c r="M3" s="11"/>
      <c r="N3" s="11"/>
      <c r="O3" s="11"/>
      <c r="P3" s="11"/>
      <c r="Q3" s="11"/>
      <c r="R3" s="11"/>
      <c r="S3" s="11"/>
      <c r="T3" s="11"/>
      <c r="U3" s="11"/>
      <c r="V3" s="11"/>
      <c r="W3" s="11"/>
      <c r="X3" s="11"/>
      <c r="Y3" s="11"/>
      <c r="Z3" s="11"/>
      <c r="AA3" s="11"/>
      <c r="AB3" s="11"/>
      <c r="AC3" s="11"/>
      <c r="AD3" s="11"/>
    </row>
    <row r="4" spans="2:30" ht="15.75" x14ac:dyDescent="0.25">
      <c r="B4" s="8"/>
      <c r="C4" s="7" t="s">
        <v>4</v>
      </c>
      <c r="D4" s="8"/>
      <c r="E4" s="9"/>
      <c r="F4" s="10"/>
      <c r="G4" s="10"/>
      <c r="H4" s="10"/>
      <c r="I4" s="10"/>
      <c r="J4" s="10"/>
      <c r="K4" s="11"/>
      <c r="L4" s="11"/>
      <c r="M4" s="11"/>
      <c r="N4" s="11"/>
      <c r="O4" s="11"/>
      <c r="P4" s="11"/>
      <c r="Q4" s="11"/>
      <c r="R4" s="11"/>
      <c r="S4" s="11"/>
      <c r="T4" s="11"/>
      <c r="U4" s="11"/>
      <c r="V4" s="11"/>
      <c r="W4" s="11"/>
      <c r="X4" s="11"/>
      <c r="Y4" s="11"/>
      <c r="Z4" s="11"/>
      <c r="AA4" s="11"/>
      <c r="AB4" s="11"/>
      <c r="AC4" s="11"/>
      <c r="AD4" s="11"/>
    </row>
    <row r="6" spans="2:30" ht="18" x14ac:dyDescent="0.25">
      <c r="B6" s="396" t="s">
        <v>282</v>
      </c>
      <c r="C6" s="12"/>
      <c r="D6" s="12"/>
      <c r="E6" s="12"/>
      <c r="F6" s="13"/>
      <c r="G6" s="13"/>
      <c r="H6" s="13"/>
      <c r="I6" s="13"/>
      <c r="J6" s="13"/>
      <c r="K6" s="13"/>
      <c r="L6" s="13"/>
      <c r="M6" s="13"/>
      <c r="N6" s="13"/>
      <c r="O6" s="13"/>
      <c r="P6" s="13"/>
      <c r="Q6" s="13"/>
      <c r="R6" s="13"/>
      <c r="S6" s="13"/>
      <c r="T6" s="13"/>
      <c r="U6" s="13"/>
      <c r="V6" s="13"/>
      <c r="W6" s="13"/>
      <c r="X6" s="13"/>
      <c r="Y6" s="13"/>
      <c r="Z6" s="13"/>
      <c r="AA6" s="13"/>
      <c r="AB6" s="13"/>
      <c r="AC6" s="13"/>
      <c r="AD6" s="13"/>
    </row>
    <row r="8" spans="2:30" ht="13.5" thickBot="1" x14ac:dyDescent="0.25">
      <c r="B8" s="201"/>
      <c r="C8" s="201"/>
      <c r="D8" s="201"/>
      <c r="E8" s="201"/>
      <c r="F8" s="200"/>
      <c r="G8" s="200"/>
      <c r="H8" s="200"/>
      <c r="I8" s="200"/>
      <c r="J8" s="200"/>
      <c r="K8" s="200"/>
      <c r="L8" s="200"/>
      <c r="M8" s="200"/>
      <c r="N8" s="200"/>
      <c r="O8" s="200"/>
      <c r="P8" s="200"/>
      <c r="Q8" s="200"/>
      <c r="R8" s="200"/>
      <c r="S8" s="200"/>
      <c r="T8" s="200"/>
      <c r="U8" s="200"/>
      <c r="V8" s="200"/>
      <c r="W8" s="200"/>
      <c r="X8" s="200"/>
      <c r="Y8" s="200" t="s">
        <v>5</v>
      </c>
      <c r="Z8" s="200"/>
      <c r="AA8" s="200"/>
      <c r="AB8" s="200"/>
      <c r="AC8" s="200"/>
      <c r="AD8" s="200" t="s">
        <v>5</v>
      </c>
    </row>
    <row r="9" spans="2:30" x14ac:dyDescent="0.2">
      <c r="B9" s="477"/>
      <c r="C9" s="483"/>
      <c r="D9" s="477"/>
      <c r="E9" s="477"/>
      <c r="F9" s="710" t="s">
        <v>548</v>
      </c>
      <c r="G9" s="711"/>
      <c r="H9" s="711"/>
      <c r="I9" s="711"/>
      <c r="J9" s="712"/>
      <c r="K9" s="710" t="s">
        <v>561</v>
      </c>
      <c r="L9" s="711"/>
      <c r="M9" s="711"/>
      <c r="N9" s="711"/>
      <c r="O9" s="712"/>
      <c r="P9" s="710" t="s">
        <v>558</v>
      </c>
      <c r="Q9" s="711"/>
      <c r="R9" s="711"/>
      <c r="S9" s="711"/>
      <c r="T9" s="712"/>
      <c r="U9" s="710" t="s">
        <v>6</v>
      </c>
      <c r="V9" s="711"/>
      <c r="W9" s="711"/>
      <c r="X9" s="711"/>
      <c r="Y9" s="712"/>
      <c r="Z9" s="710" t="s">
        <v>637</v>
      </c>
      <c r="AA9" s="711"/>
      <c r="AB9" s="711"/>
      <c r="AC9" s="711"/>
      <c r="AD9" s="712"/>
    </row>
    <row r="10" spans="2:30" ht="18" customHeight="1" x14ac:dyDescent="0.2">
      <c r="B10" s="718" t="s">
        <v>7</v>
      </c>
      <c r="C10" s="719"/>
      <c r="D10" s="484" t="s">
        <v>8</v>
      </c>
      <c r="E10" s="485" t="s">
        <v>9</v>
      </c>
      <c r="F10" s="486"/>
      <c r="G10" s="487" t="s">
        <v>10</v>
      </c>
      <c r="H10" s="486"/>
      <c r="I10" s="486"/>
      <c r="J10" s="486"/>
      <c r="K10" s="488"/>
      <c r="L10" s="487" t="s">
        <v>10</v>
      </c>
      <c r="M10" s="486"/>
      <c r="N10" s="486"/>
      <c r="O10" s="486"/>
      <c r="P10" s="488"/>
      <c r="Q10" s="487" t="s">
        <v>10</v>
      </c>
      <c r="R10" s="486"/>
      <c r="S10" s="486"/>
      <c r="T10" s="486"/>
      <c r="U10" s="488"/>
      <c r="V10" s="487" t="s">
        <v>10</v>
      </c>
      <c r="W10" s="489"/>
      <c r="X10" s="489"/>
      <c r="Y10" s="490"/>
      <c r="Z10" s="488"/>
      <c r="AA10" s="487" t="s">
        <v>10</v>
      </c>
      <c r="AB10" s="489"/>
      <c r="AC10" s="489"/>
      <c r="AD10" s="490"/>
    </row>
    <row r="11" spans="2:30" ht="48" customHeight="1" x14ac:dyDescent="0.2">
      <c r="B11" s="491"/>
      <c r="C11" s="492"/>
      <c r="D11" s="491"/>
      <c r="E11" s="491"/>
      <c r="F11" s="493" t="s">
        <v>11</v>
      </c>
      <c r="G11" s="494" t="s">
        <v>12</v>
      </c>
      <c r="H11" s="494" t="s">
        <v>13</v>
      </c>
      <c r="I11" s="494" t="s">
        <v>14</v>
      </c>
      <c r="J11" s="494" t="s">
        <v>15</v>
      </c>
      <c r="K11" s="493" t="s">
        <v>11</v>
      </c>
      <c r="L11" s="494" t="s">
        <v>12</v>
      </c>
      <c r="M11" s="494" t="s">
        <v>13</v>
      </c>
      <c r="N11" s="494" t="s">
        <v>14</v>
      </c>
      <c r="O11" s="494" t="s">
        <v>15</v>
      </c>
      <c r="P11" s="493" t="s">
        <v>11</v>
      </c>
      <c r="Q11" s="494" t="s">
        <v>12</v>
      </c>
      <c r="R11" s="494" t="s">
        <v>13</v>
      </c>
      <c r="S11" s="494" t="s">
        <v>14</v>
      </c>
      <c r="T11" s="494" t="s">
        <v>15</v>
      </c>
      <c r="U11" s="493" t="s">
        <v>11</v>
      </c>
      <c r="V11" s="494" t="s">
        <v>12</v>
      </c>
      <c r="W11" s="494" t="s">
        <v>13</v>
      </c>
      <c r="X11" s="494" t="s">
        <v>14</v>
      </c>
      <c r="Y11" s="495" t="s">
        <v>15</v>
      </c>
      <c r="Z11" s="493" t="s">
        <v>11</v>
      </c>
      <c r="AA11" s="494" t="s">
        <v>12</v>
      </c>
      <c r="AB11" s="494" t="s">
        <v>13</v>
      </c>
      <c r="AC11" s="494" t="s">
        <v>14</v>
      </c>
      <c r="AD11" s="495" t="s">
        <v>15</v>
      </c>
    </row>
    <row r="12" spans="2:30" ht="13.5" thickBot="1" x14ac:dyDescent="0.25">
      <c r="B12" s="496" t="s">
        <v>16</v>
      </c>
      <c r="C12" s="497" t="s">
        <v>17</v>
      </c>
      <c r="D12" s="479"/>
      <c r="E12" s="479"/>
      <c r="F12" s="480"/>
      <c r="G12" s="481" t="s">
        <v>18</v>
      </c>
      <c r="H12" s="481" t="s">
        <v>19</v>
      </c>
      <c r="I12" s="481" t="s">
        <v>20</v>
      </c>
      <c r="J12" s="481" t="s">
        <v>21</v>
      </c>
      <c r="K12" s="480"/>
      <c r="L12" s="498" t="s">
        <v>584</v>
      </c>
      <c r="M12" s="481" t="s">
        <v>19</v>
      </c>
      <c r="N12" s="481" t="s">
        <v>20</v>
      </c>
      <c r="O12" s="481" t="s">
        <v>21</v>
      </c>
      <c r="P12" s="480"/>
      <c r="Q12" s="481" t="s">
        <v>18</v>
      </c>
      <c r="R12" s="481" t="s">
        <v>19</v>
      </c>
      <c r="S12" s="481" t="s">
        <v>20</v>
      </c>
      <c r="T12" s="481" t="s">
        <v>21</v>
      </c>
      <c r="U12" s="480"/>
      <c r="V12" s="481" t="s">
        <v>18</v>
      </c>
      <c r="W12" s="481" t="s">
        <v>19</v>
      </c>
      <c r="X12" s="481" t="s">
        <v>20</v>
      </c>
      <c r="Y12" s="482" t="s">
        <v>21</v>
      </c>
      <c r="Z12" s="480"/>
      <c r="AA12" s="481" t="s">
        <v>18</v>
      </c>
      <c r="AB12" s="481" t="s">
        <v>19</v>
      </c>
      <c r="AC12" s="481" t="s">
        <v>20</v>
      </c>
      <c r="AD12" s="482" t="s">
        <v>21</v>
      </c>
    </row>
    <row r="13" spans="2:30" ht="13.5" thickBot="1" x14ac:dyDescent="0.25">
      <c r="B13" s="499"/>
      <c r="C13" s="500"/>
      <c r="D13" s="499"/>
      <c r="E13" s="499"/>
      <c r="F13" s="501" t="s">
        <v>22</v>
      </c>
      <c r="G13" s="713" t="s">
        <v>22</v>
      </c>
      <c r="H13" s="714"/>
      <c r="I13" s="714"/>
      <c r="J13" s="715"/>
      <c r="K13" s="501" t="s">
        <v>22</v>
      </c>
      <c r="L13" s="713" t="s">
        <v>22</v>
      </c>
      <c r="M13" s="714"/>
      <c r="N13" s="714"/>
      <c r="O13" s="715"/>
      <c r="P13" s="501" t="s">
        <v>22</v>
      </c>
      <c r="Q13" s="713" t="s">
        <v>22</v>
      </c>
      <c r="R13" s="714"/>
      <c r="S13" s="714"/>
      <c r="T13" s="715"/>
      <c r="U13" s="501" t="s">
        <v>22</v>
      </c>
      <c r="V13" s="713" t="s">
        <v>22</v>
      </c>
      <c r="W13" s="714"/>
      <c r="X13" s="714"/>
      <c r="Y13" s="715"/>
      <c r="Z13" s="501" t="s">
        <v>22</v>
      </c>
      <c r="AA13" s="713" t="s">
        <v>22</v>
      </c>
      <c r="AB13" s="714"/>
      <c r="AC13" s="714"/>
      <c r="AD13" s="715"/>
    </row>
    <row r="14" spans="2:30" ht="15" thickBot="1" x14ac:dyDescent="0.25">
      <c r="B14" s="339" t="s">
        <v>281</v>
      </c>
      <c r="C14" s="338" t="s">
        <v>523</v>
      </c>
      <c r="D14" s="394" t="s">
        <v>213</v>
      </c>
      <c r="E14" s="35" t="s">
        <v>522</v>
      </c>
      <c r="F14" s="30">
        <f t="shared" ref="F14:F45" si="0">SUM(G14:J14)</f>
        <v>1100</v>
      </c>
      <c r="G14" s="27">
        <v>1100</v>
      </c>
      <c r="H14" s="27">
        <v>0</v>
      </c>
      <c r="I14" s="27">
        <v>0</v>
      </c>
      <c r="J14" s="27">
        <v>0</v>
      </c>
      <c r="K14" s="30">
        <f t="shared" ref="K14:K45" si="1">SUM(L14:O14)</f>
        <v>693.91</v>
      </c>
      <c r="L14" s="27">
        <f>69391/100</f>
        <v>693.91</v>
      </c>
      <c r="M14" s="27">
        <v>0</v>
      </c>
      <c r="N14" s="27">
        <v>0</v>
      </c>
      <c r="O14" s="27">
        <v>0</v>
      </c>
      <c r="P14" s="30">
        <f t="shared" ref="P14:P45" si="2">SUM(Q14:T14)</f>
        <v>466</v>
      </c>
      <c r="Q14" s="27">
        <f>746-280</f>
        <v>466</v>
      </c>
      <c r="R14" s="27">
        <v>0</v>
      </c>
      <c r="S14" s="27">
        <v>0</v>
      </c>
      <c r="T14" s="27">
        <v>0</v>
      </c>
      <c r="U14" s="30">
        <f>SUM(V14:Y14)</f>
        <v>-634</v>
      </c>
      <c r="V14" s="27">
        <f>Q14-G14</f>
        <v>-634</v>
      </c>
      <c r="W14" s="27">
        <v>0</v>
      </c>
      <c r="X14" s="27">
        <v>0</v>
      </c>
      <c r="Y14" s="31">
        <v>0</v>
      </c>
      <c r="Z14" s="559">
        <f>IF(P14=0," ",IF(F14=0," ",P14/F14*100))</f>
        <v>42.363636363636367</v>
      </c>
      <c r="AA14" s="561">
        <f t="shared" ref="AA14:AD14" si="3">IF(Q14=0," ",IF(G14=0," ",Q14/G14*100))</f>
        <v>42.363636363636367</v>
      </c>
      <c r="AB14" s="563" t="str">
        <f t="shared" si="3"/>
        <v xml:space="preserve"> </v>
      </c>
      <c r="AC14" s="561" t="str">
        <f t="shared" si="3"/>
        <v xml:space="preserve"> </v>
      </c>
      <c r="AD14" s="562" t="str">
        <f t="shared" si="3"/>
        <v xml:space="preserve"> </v>
      </c>
    </row>
    <row r="15" spans="2:30" ht="15.75" thickBot="1" x14ac:dyDescent="0.25">
      <c r="B15" s="336" t="s">
        <v>281</v>
      </c>
      <c r="C15" s="335"/>
      <c r="D15" s="393" t="s">
        <v>213</v>
      </c>
      <c r="E15" s="333" t="s">
        <v>522</v>
      </c>
      <c r="F15" s="34">
        <f t="shared" si="0"/>
        <v>1100</v>
      </c>
      <c r="G15" s="331">
        <f>G14</f>
        <v>1100</v>
      </c>
      <c r="H15" s="331">
        <f>H14</f>
        <v>0</v>
      </c>
      <c r="I15" s="331">
        <f>I14</f>
        <v>0</v>
      </c>
      <c r="J15" s="331">
        <f>J14</f>
        <v>0</v>
      </c>
      <c r="K15" s="34">
        <f t="shared" si="1"/>
        <v>693.91</v>
      </c>
      <c r="L15" s="331">
        <f>L14</f>
        <v>693.91</v>
      </c>
      <c r="M15" s="331">
        <f>M14</f>
        <v>0</v>
      </c>
      <c r="N15" s="331">
        <f>N14</f>
        <v>0</v>
      </c>
      <c r="O15" s="331">
        <f>O14</f>
        <v>0</v>
      </c>
      <c r="P15" s="34">
        <f t="shared" si="2"/>
        <v>466</v>
      </c>
      <c r="Q15" s="331">
        <f>Q14</f>
        <v>466</v>
      </c>
      <c r="R15" s="331">
        <f>R14</f>
        <v>0</v>
      </c>
      <c r="S15" s="331">
        <f>S14</f>
        <v>0</v>
      </c>
      <c r="T15" s="331">
        <f>T14</f>
        <v>0</v>
      </c>
      <c r="U15" s="34">
        <f t="shared" ref="U15:U45" si="4">SUM(V15:Y15)</f>
        <v>-634</v>
      </c>
      <c r="V15" s="331">
        <f>V14</f>
        <v>-634</v>
      </c>
      <c r="W15" s="331">
        <f>W14</f>
        <v>0</v>
      </c>
      <c r="X15" s="331">
        <f>X14</f>
        <v>0</v>
      </c>
      <c r="Y15" s="330">
        <f>Y14</f>
        <v>0</v>
      </c>
      <c r="Z15" s="564">
        <f t="shared" ref="Z15:Z78" si="5">IF(P15=0," ",IF(F15=0," ",P15/F15*100))</f>
        <v>42.363636363636367</v>
      </c>
      <c r="AA15" s="565">
        <f t="shared" ref="AA15:AA78" si="6">IF(Q15=0," ",IF(G15=0," ",Q15/G15*100))</f>
        <v>42.363636363636367</v>
      </c>
      <c r="AB15" s="566" t="str">
        <f t="shared" ref="AB15:AB78" si="7">IF(R15=0," ",IF(H15=0," ",R15/H15*100))</f>
        <v xml:space="preserve"> </v>
      </c>
      <c r="AC15" s="565" t="str">
        <f t="shared" ref="AC15:AC78" si="8">IF(S15=0," ",IF(I15=0," ",S15/I15*100))</f>
        <v xml:space="preserve"> </v>
      </c>
      <c r="AD15" s="567" t="str">
        <f t="shared" ref="AD15:AD78" si="9">IF(T15=0," ",IF(J15=0," ",T15/J15*100))</f>
        <v xml:space="preserve"> </v>
      </c>
    </row>
    <row r="16" spans="2:30" ht="15" thickBot="1" x14ac:dyDescent="0.25">
      <c r="B16" s="339" t="s">
        <v>280</v>
      </c>
      <c r="C16" s="338" t="s">
        <v>521</v>
      </c>
      <c r="D16" s="394" t="s">
        <v>213</v>
      </c>
      <c r="E16" s="35" t="s">
        <v>279</v>
      </c>
      <c r="F16" s="30">
        <f t="shared" si="0"/>
        <v>528</v>
      </c>
      <c r="G16" s="27">
        <v>460</v>
      </c>
      <c r="H16" s="27">
        <v>0</v>
      </c>
      <c r="I16" s="27">
        <v>0</v>
      </c>
      <c r="J16" s="27">
        <v>68</v>
      </c>
      <c r="K16" s="30">
        <f t="shared" si="1"/>
        <v>528</v>
      </c>
      <c r="L16" s="27">
        <v>460</v>
      </c>
      <c r="M16" s="27">
        <v>0</v>
      </c>
      <c r="N16" s="27">
        <v>0</v>
      </c>
      <c r="O16" s="27">
        <v>68</v>
      </c>
      <c r="P16" s="30">
        <f t="shared" si="2"/>
        <v>505</v>
      </c>
      <c r="Q16" s="27">
        <v>437</v>
      </c>
      <c r="R16" s="27">
        <v>0</v>
      </c>
      <c r="S16" s="27">
        <v>0</v>
      </c>
      <c r="T16" s="27">
        <v>68</v>
      </c>
      <c r="U16" s="30">
        <f t="shared" si="4"/>
        <v>-23</v>
      </c>
      <c r="V16" s="27">
        <f>N3-23</f>
        <v>-23</v>
      </c>
      <c r="W16" s="27">
        <v>0</v>
      </c>
      <c r="X16" s="27">
        <v>0</v>
      </c>
      <c r="Y16" s="31">
        <v>0</v>
      </c>
      <c r="Z16" s="559">
        <f t="shared" si="5"/>
        <v>95.643939393939391</v>
      </c>
      <c r="AA16" s="561">
        <f t="shared" si="6"/>
        <v>95</v>
      </c>
      <c r="AB16" s="563" t="str">
        <f t="shared" si="7"/>
        <v xml:space="preserve"> </v>
      </c>
      <c r="AC16" s="561" t="str">
        <f t="shared" si="8"/>
        <v xml:space="preserve"> </v>
      </c>
      <c r="AD16" s="562">
        <f t="shared" si="9"/>
        <v>100</v>
      </c>
    </row>
    <row r="17" spans="2:30" ht="15.75" thickBot="1" x14ac:dyDescent="0.25">
      <c r="B17" s="336" t="s">
        <v>280</v>
      </c>
      <c r="C17" s="335"/>
      <c r="D17" s="393" t="s">
        <v>213</v>
      </c>
      <c r="E17" s="333" t="s">
        <v>279</v>
      </c>
      <c r="F17" s="34">
        <f t="shared" si="0"/>
        <v>528</v>
      </c>
      <c r="G17" s="331">
        <f>G16</f>
        <v>460</v>
      </c>
      <c r="H17" s="331">
        <f>H16</f>
        <v>0</v>
      </c>
      <c r="I17" s="331">
        <f>I16</f>
        <v>0</v>
      </c>
      <c r="J17" s="331">
        <f>J16</f>
        <v>68</v>
      </c>
      <c r="K17" s="34">
        <f t="shared" si="1"/>
        <v>528</v>
      </c>
      <c r="L17" s="331">
        <f>L16</f>
        <v>460</v>
      </c>
      <c r="M17" s="331">
        <f>M16</f>
        <v>0</v>
      </c>
      <c r="N17" s="331">
        <f>N16</f>
        <v>0</v>
      </c>
      <c r="O17" s="331">
        <f>O16</f>
        <v>68</v>
      </c>
      <c r="P17" s="34">
        <f t="shared" si="2"/>
        <v>505</v>
      </c>
      <c r="Q17" s="331">
        <f>Q16</f>
        <v>437</v>
      </c>
      <c r="R17" s="331">
        <f>R16</f>
        <v>0</v>
      </c>
      <c r="S17" s="331">
        <f>S16</f>
        <v>0</v>
      </c>
      <c r="T17" s="331">
        <f>T16</f>
        <v>68</v>
      </c>
      <c r="U17" s="34">
        <f t="shared" si="4"/>
        <v>-23</v>
      </c>
      <c r="V17" s="331">
        <f>V16</f>
        <v>-23</v>
      </c>
      <c r="W17" s="331">
        <f>W16</f>
        <v>0</v>
      </c>
      <c r="X17" s="331">
        <f>X16</f>
        <v>0</v>
      </c>
      <c r="Y17" s="330">
        <f>Y16</f>
        <v>0</v>
      </c>
      <c r="Z17" s="564">
        <f t="shared" si="5"/>
        <v>95.643939393939391</v>
      </c>
      <c r="AA17" s="565">
        <f t="shared" si="6"/>
        <v>95</v>
      </c>
      <c r="AB17" s="566" t="str">
        <f t="shared" si="7"/>
        <v xml:space="preserve"> </v>
      </c>
      <c r="AC17" s="565" t="str">
        <f t="shared" si="8"/>
        <v xml:space="preserve"> </v>
      </c>
      <c r="AD17" s="567">
        <f t="shared" si="9"/>
        <v>100</v>
      </c>
    </row>
    <row r="18" spans="2:30" ht="15" thickBot="1" x14ac:dyDescent="0.25">
      <c r="B18" s="339" t="s">
        <v>278</v>
      </c>
      <c r="C18" s="338" t="s">
        <v>521</v>
      </c>
      <c r="D18" s="394" t="s">
        <v>213</v>
      </c>
      <c r="E18" s="35" t="s">
        <v>277</v>
      </c>
      <c r="F18" s="30">
        <f t="shared" si="0"/>
        <v>392</v>
      </c>
      <c r="G18" s="27">
        <v>392</v>
      </c>
      <c r="H18" s="27">
        <v>0</v>
      </c>
      <c r="I18" s="27">
        <v>0</v>
      </c>
      <c r="J18" s="27">
        <v>0</v>
      </c>
      <c r="K18" s="30">
        <f t="shared" si="1"/>
        <v>392</v>
      </c>
      <c r="L18" s="27">
        <v>392</v>
      </c>
      <c r="M18" s="27">
        <v>0</v>
      </c>
      <c r="N18" s="27">
        <v>0</v>
      </c>
      <c r="O18" s="27">
        <v>0</v>
      </c>
      <c r="P18" s="30">
        <f t="shared" si="2"/>
        <v>290</v>
      </c>
      <c r="Q18" s="27">
        <v>290</v>
      </c>
      <c r="R18" s="27">
        <v>0</v>
      </c>
      <c r="S18" s="27">
        <v>0</v>
      </c>
      <c r="T18" s="27">
        <v>0</v>
      </c>
      <c r="U18" s="30">
        <f t="shared" si="4"/>
        <v>-102</v>
      </c>
      <c r="V18" s="27">
        <v>-102</v>
      </c>
      <c r="W18" s="27">
        <v>0</v>
      </c>
      <c r="X18" s="27">
        <v>0</v>
      </c>
      <c r="Y18" s="31">
        <v>0</v>
      </c>
      <c r="Z18" s="559">
        <f t="shared" si="5"/>
        <v>73.979591836734699</v>
      </c>
      <c r="AA18" s="561">
        <f t="shared" si="6"/>
        <v>73.979591836734699</v>
      </c>
      <c r="AB18" s="563" t="str">
        <f t="shared" si="7"/>
        <v xml:space="preserve"> </v>
      </c>
      <c r="AC18" s="561" t="str">
        <f t="shared" si="8"/>
        <v xml:space="preserve"> </v>
      </c>
      <c r="AD18" s="562" t="str">
        <f t="shared" si="9"/>
        <v xml:space="preserve"> </v>
      </c>
    </row>
    <row r="19" spans="2:30" ht="15" thickBot="1" x14ac:dyDescent="0.25">
      <c r="B19" s="339" t="s">
        <v>278</v>
      </c>
      <c r="C19" s="338" t="s">
        <v>516</v>
      </c>
      <c r="D19" s="394" t="s">
        <v>213</v>
      </c>
      <c r="E19" s="35" t="s">
        <v>277</v>
      </c>
      <c r="F19" s="30">
        <f t="shared" si="0"/>
        <v>150</v>
      </c>
      <c r="G19" s="27">
        <v>150</v>
      </c>
      <c r="H19" s="27">
        <v>0</v>
      </c>
      <c r="I19" s="27">
        <v>0</v>
      </c>
      <c r="J19" s="27">
        <v>0</v>
      </c>
      <c r="K19" s="30">
        <f t="shared" si="1"/>
        <v>150</v>
      </c>
      <c r="L19" s="27">
        <v>150</v>
      </c>
      <c r="M19" s="27">
        <v>0</v>
      </c>
      <c r="N19" s="27">
        <v>0</v>
      </c>
      <c r="O19" s="27">
        <v>0</v>
      </c>
      <c r="P19" s="30">
        <f t="shared" si="2"/>
        <v>200</v>
      </c>
      <c r="Q19" s="27">
        <v>200</v>
      </c>
      <c r="R19" s="27">
        <v>0</v>
      </c>
      <c r="S19" s="27">
        <v>0</v>
      </c>
      <c r="T19" s="27">
        <v>0</v>
      </c>
      <c r="U19" s="30">
        <f t="shared" si="4"/>
        <v>50</v>
      </c>
      <c r="V19" s="27">
        <v>50</v>
      </c>
      <c r="W19" s="27">
        <v>0</v>
      </c>
      <c r="X19" s="27">
        <v>0</v>
      </c>
      <c r="Y19" s="31">
        <v>0</v>
      </c>
      <c r="Z19" s="559">
        <f t="shared" si="5"/>
        <v>133.33333333333331</v>
      </c>
      <c r="AA19" s="561">
        <f t="shared" si="6"/>
        <v>133.33333333333331</v>
      </c>
      <c r="AB19" s="563" t="str">
        <f t="shared" si="7"/>
        <v xml:space="preserve"> </v>
      </c>
      <c r="AC19" s="561" t="str">
        <f t="shared" si="8"/>
        <v xml:space="preserve"> </v>
      </c>
      <c r="AD19" s="562" t="str">
        <f t="shared" si="9"/>
        <v xml:space="preserve"> </v>
      </c>
    </row>
    <row r="20" spans="2:30" ht="15.75" thickBot="1" x14ac:dyDescent="0.25">
      <c r="B20" s="336" t="s">
        <v>278</v>
      </c>
      <c r="C20" s="335"/>
      <c r="D20" s="393" t="s">
        <v>213</v>
      </c>
      <c r="E20" s="333" t="s">
        <v>277</v>
      </c>
      <c r="F20" s="34">
        <f t="shared" si="0"/>
        <v>542</v>
      </c>
      <c r="G20" s="331">
        <f>SUM(G18:G19)</f>
        <v>542</v>
      </c>
      <c r="H20" s="331">
        <f>SUM(H18:H19)</f>
        <v>0</v>
      </c>
      <c r="I20" s="331">
        <f>SUM(I18:I19)</f>
        <v>0</v>
      </c>
      <c r="J20" s="331">
        <f>SUM(J18:J19)</f>
        <v>0</v>
      </c>
      <c r="K20" s="34">
        <f t="shared" si="1"/>
        <v>542</v>
      </c>
      <c r="L20" s="331">
        <f>SUM(L18:L19)</f>
        <v>542</v>
      </c>
      <c r="M20" s="331">
        <f>SUM(M18:M19)</f>
        <v>0</v>
      </c>
      <c r="N20" s="331">
        <f>SUM(N18:N19)</f>
        <v>0</v>
      </c>
      <c r="O20" s="331">
        <f>SUM(O18:O19)</f>
        <v>0</v>
      </c>
      <c r="P20" s="34">
        <f t="shared" si="2"/>
        <v>490</v>
      </c>
      <c r="Q20" s="331">
        <f>SUM(Q18:Q19)</f>
        <v>490</v>
      </c>
      <c r="R20" s="331">
        <f>SUM(R18:R19)</f>
        <v>0</v>
      </c>
      <c r="S20" s="331">
        <f>SUM(S18:S19)</f>
        <v>0</v>
      </c>
      <c r="T20" s="331">
        <f>SUM(T18:T19)</f>
        <v>0</v>
      </c>
      <c r="U20" s="34">
        <f t="shared" si="4"/>
        <v>-52</v>
      </c>
      <c r="V20" s="331">
        <f>SUM(V18:V19)</f>
        <v>-52</v>
      </c>
      <c r="W20" s="331">
        <f>SUM(W18:W19)</f>
        <v>0</v>
      </c>
      <c r="X20" s="331">
        <f>SUM(X18:X19)</f>
        <v>0</v>
      </c>
      <c r="Y20" s="330">
        <f>SUM(Y18:Y19)</f>
        <v>0</v>
      </c>
      <c r="Z20" s="564">
        <f t="shared" si="5"/>
        <v>90.40590405904058</v>
      </c>
      <c r="AA20" s="565">
        <f t="shared" si="6"/>
        <v>90.40590405904058</v>
      </c>
      <c r="AB20" s="566" t="str">
        <f t="shared" si="7"/>
        <v xml:space="preserve"> </v>
      </c>
      <c r="AC20" s="565" t="str">
        <f t="shared" si="8"/>
        <v xml:space="preserve"> </v>
      </c>
      <c r="AD20" s="567" t="str">
        <f t="shared" si="9"/>
        <v xml:space="preserve"> </v>
      </c>
    </row>
    <row r="21" spans="2:30" ht="15" thickBot="1" x14ac:dyDescent="0.25">
      <c r="B21" s="339" t="s">
        <v>276</v>
      </c>
      <c r="C21" s="338" t="s">
        <v>521</v>
      </c>
      <c r="D21" s="394" t="s">
        <v>213</v>
      </c>
      <c r="E21" s="35" t="s">
        <v>275</v>
      </c>
      <c r="F21" s="30">
        <f t="shared" si="0"/>
        <v>100</v>
      </c>
      <c r="G21" s="27">
        <v>100</v>
      </c>
      <c r="H21" s="27">
        <v>0</v>
      </c>
      <c r="I21" s="27">
        <v>0</v>
      </c>
      <c r="J21" s="27">
        <v>0</v>
      </c>
      <c r="K21" s="30">
        <f t="shared" si="1"/>
        <v>100</v>
      </c>
      <c r="L21" s="27">
        <v>100</v>
      </c>
      <c r="M21" s="27">
        <v>0</v>
      </c>
      <c r="N21" s="27">
        <v>0</v>
      </c>
      <c r="O21" s="27">
        <v>0</v>
      </c>
      <c r="P21" s="30">
        <f t="shared" si="2"/>
        <v>114</v>
      </c>
      <c r="Q21" s="27">
        <v>114</v>
      </c>
      <c r="R21" s="27">
        <v>0</v>
      </c>
      <c r="S21" s="27">
        <v>0</v>
      </c>
      <c r="T21" s="27">
        <v>0</v>
      </c>
      <c r="U21" s="30">
        <f t="shared" si="4"/>
        <v>14</v>
      </c>
      <c r="V21" s="27">
        <v>14</v>
      </c>
      <c r="W21" s="27">
        <v>0</v>
      </c>
      <c r="X21" s="27">
        <v>0</v>
      </c>
      <c r="Y21" s="31">
        <v>0</v>
      </c>
      <c r="Z21" s="559">
        <f t="shared" si="5"/>
        <v>113.99999999999999</v>
      </c>
      <c r="AA21" s="561">
        <f t="shared" si="6"/>
        <v>113.99999999999999</v>
      </c>
      <c r="AB21" s="563" t="str">
        <f t="shared" si="7"/>
        <v xml:space="preserve"> </v>
      </c>
      <c r="AC21" s="561" t="str">
        <f t="shared" si="8"/>
        <v xml:space="preserve"> </v>
      </c>
      <c r="AD21" s="562" t="str">
        <f t="shared" si="9"/>
        <v xml:space="preserve"> </v>
      </c>
    </row>
    <row r="22" spans="2:30" ht="15" thickBot="1" x14ac:dyDescent="0.25">
      <c r="B22" s="339" t="s">
        <v>276</v>
      </c>
      <c r="C22" s="338" t="s">
        <v>516</v>
      </c>
      <c r="D22" s="394" t="s">
        <v>213</v>
      </c>
      <c r="E22" s="35" t="s">
        <v>275</v>
      </c>
      <c r="F22" s="30">
        <f t="shared" si="0"/>
        <v>3178</v>
      </c>
      <c r="G22" s="27">
        <v>2059</v>
      </c>
      <c r="H22" s="27">
        <v>0</v>
      </c>
      <c r="I22" s="27">
        <v>0</v>
      </c>
      <c r="J22" s="27">
        <v>1119</v>
      </c>
      <c r="K22" s="30">
        <f t="shared" si="1"/>
        <v>3178</v>
      </c>
      <c r="L22" s="27">
        <v>2059</v>
      </c>
      <c r="M22" s="27">
        <v>0</v>
      </c>
      <c r="N22" s="27">
        <v>0</v>
      </c>
      <c r="O22" s="27">
        <v>1119</v>
      </c>
      <c r="P22" s="30">
        <f t="shared" si="2"/>
        <v>3033</v>
      </c>
      <c r="Q22" s="27">
        <v>1909</v>
      </c>
      <c r="R22" s="27">
        <v>0</v>
      </c>
      <c r="S22" s="27">
        <v>0</v>
      </c>
      <c r="T22" s="27">
        <v>1124</v>
      </c>
      <c r="U22" s="30">
        <f t="shared" si="4"/>
        <v>-145</v>
      </c>
      <c r="V22" s="27">
        <v>-150</v>
      </c>
      <c r="W22" s="27">
        <v>0</v>
      </c>
      <c r="X22" s="27">
        <v>0</v>
      </c>
      <c r="Y22" s="31">
        <v>5</v>
      </c>
      <c r="Z22" s="559">
        <f t="shared" si="5"/>
        <v>95.437382001258655</v>
      </c>
      <c r="AA22" s="561">
        <f t="shared" si="6"/>
        <v>92.714910150558524</v>
      </c>
      <c r="AB22" s="563" t="str">
        <f t="shared" si="7"/>
        <v xml:space="preserve"> </v>
      </c>
      <c r="AC22" s="561" t="str">
        <f t="shared" si="8"/>
        <v xml:space="preserve"> </v>
      </c>
      <c r="AD22" s="562">
        <f t="shared" si="9"/>
        <v>100.44682752457553</v>
      </c>
    </row>
    <row r="23" spans="2:30" ht="15" thickBot="1" x14ac:dyDescent="0.25">
      <c r="B23" s="339" t="s">
        <v>276</v>
      </c>
      <c r="C23" s="338" t="s">
        <v>498</v>
      </c>
      <c r="D23" s="394" t="s">
        <v>213</v>
      </c>
      <c r="E23" s="35" t="s">
        <v>275</v>
      </c>
      <c r="F23" s="30">
        <f t="shared" si="0"/>
        <v>350</v>
      </c>
      <c r="G23" s="27">
        <v>350</v>
      </c>
      <c r="H23" s="27">
        <v>0</v>
      </c>
      <c r="I23" s="27">
        <v>0</v>
      </c>
      <c r="J23" s="27">
        <v>0</v>
      </c>
      <c r="K23" s="30">
        <f t="shared" si="1"/>
        <v>350</v>
      </c>
      <c r="L23" s="27">
        <v>350</v>
      </c>
      <c r="M23" s="27">
        <v>0</v>
      </c>
      <c r="N23" s="27">
        <v>0</v>
      </c>
      <c r="O23" s="27">
        <v>0</v>
      </c>
      <c r="P23" s="30">
        <f t="shared" si="2"/>
        <v>266</v>
      </c>
      <c r="Q23" s="27">
        <v>266</v>
      </c>
      <c r="R23" s="27">
        <v>0</v>
      </c>
      <c r="S23" s="27">
        <v>0</v>
      </c>
      <c r="T23" s="27">
        <v>0</v>
      </c>
      <c r="U23" s="30">
        <f t="shared" si="4"/>
        <v>-84</v>
      </c>
      <c r="V23" s="27">
        <v>-84</v>
      </c>
      <c r="W23" s="27">
        <v>0</v>
      </c>
      <c r="X23" s="27">
        <v>0</v>
      </c>
      <c r="Y23" s="31">
        <v>0</v>
      </c>
      <c r="Z23" s="559">
        <f t="shared" si="5"/>
        <v>76</v>
      </c>
      <c r="AA23" s="561">
        <f t="shared" si="6"/>
        <v>76</v>
      </c>
      <c r="AB23" s="563" t="str">
        <f t="shared" si="7"/>
        <v xml:space="preserve"> </v>
      </c>
      <c r="AC23" s="561" t="str">
        <f t="shared" si="8"/>
        <v xml:space="preserve"> </v>
      </c>
      <c r="AD23" s="562" t="str">
        <f t="shared" si="9"/>
        <v xml:space="preserve"> </v>
      </c>
    </row>
    <row r="24" spans="2:30" ht="15" thickBot="1" x14ac:dyDescent="0.25">
      <c r="B24" s="339" t="s">
        <v>276</v>
      </c>
      <c r="C24" s="338" t="s">
        <v>519</v>
      </c>
      <c r="D24" s="394" t="s">
        <v>213</v>
      </c>
      <c r="E24" s="35" t="s">
        <v>275</v>
      </c>
      <c r="F24" s="30">
        <f t="shared" si="0"/>
        <v>400</v>
      </c>
      <c r="G24" s="27">
        <v>400</v>
      </c>
      <c r="H24" s="27">
        <v>0</v>
      </c>
      <c r="I24" s="27">
        <v>0</v>
      </c>
      <c r="J24" s="27">
        <v>0</v>
      </c>
      <c r="K24" s="30">
        <f t="shared" si="1"/>
        <v>400</v>
      </c>
      <c r="L24" s="27">
        <v>400</v>
      </c>
      <c r="M24" s="27">
        <v>0</v>
      </c>
      <c r="N24" s="27">
        <v>0</v>
      </c>
      <c r="O24" s="27">
        <v>0</v>
      </c>
      <c r="P24" s="30">
        <f t="shared" si="2"/>
        <v>380</v>
      </c>
      <c r="Q24" s="27">
        <v>380</v>
      </c>
      <c r="R24" s="27">
        <v>0</v>
      </c>
      <c r="S24" s="27">
        <v>0</v>
      </c>
      <c r="T24" s="27">
        <v>0</v>
      </c>
      <c r="U24" s="30">
        <f t="shared" si="4"/>
        <v>-20</v>
      </c>
      <c r="V24" s="27">
        <v>-20</v>
      </c>
      <c r="W24" s="27">
        <v>0</v>
      </c>
      <c r="X24" s="27">
        <v>0</v>
      </c>
      <c r="Y24" s="31">
        <v>0</v>
      </c>
      <c r="Z24" s="559">
        <f t="shared" si="5"/>
        <v>95</v>
      </c>
      <c r="AA24" s="561">
        <f t="shared" si="6"/>
        <v>95</v>
      </c>
      <c r="AB24" s="563" t="str">
        <f t="shared" si="7"/>
        <v xml:space="preserve"> </v>
      </c>
      <c r="AC24" s="561" t="str">
        <f t="shared" si="8"/>
        <v xml:space="preserve"> </v>
      </c>
      <c r="AD24" s="562" t="str">
        <f t="shared" si="9"/>
        <v xml:space="preserve"> </v>
      </c>
    </row>
    <row r="25" spans="2:30" ht="15" thickBot="1" x14ac:dyDescent="0.25">
      <c r="B25" s="339" t="s">
        <v>276</v>
      </c>
      <c r="C25" s="338" t="s">
        <v>496</v>
      </c>
      <c r="D25" s="394" t="s">
        <v>213</v>
      </c>
      <c r="E25" s="35" t="s">
        <v>275</v>
      </c>
      <c r="F25" s="30">
        <f t="shared" si="0"/>
        <v>250</v>
      </c>
      <c r="G25" s="27">
        <v>250</v>
      </c>
      <c r="H25" s="27">
        <v>0</v>
      </c>
      <c r="I25" s="27">
        <v>0</v>
      </c>
      <c r="J25" s="27">
        <v>0</v>
      </c>
      <c r="K25" s="30">
        <f t="shared" si="1"/>
        <v>250</v>
      </c>
      <c r="L25" s="27">
        <v>250</v>
      </c>
      <c r="M25" s="27">
        <v>0</v>
      </c>
      <c r="N25" s="27">
        <v>0</v>
      </c>
      <c r="O25" s="27">
        <v>0</v>
      </c>
      <c r="P25" s="30">
        <f t="shared" si="2"/>
        <v>332</v>
      </c>
      <c r="Q25" s="27">
        <v>332</v>
      </c>
      <c r="R25" s="27">
        <v>0</v>
      </c>
      <c r="S25" s="27">
        <v>0</v>
      </c>
      <c r="T25" s="27">
        <v>0</v>
      </c>
      <c r="U25" s="30">
        <f t="shared" si="4"/>
        <v>82</v>
      </c>
      <c r="V25" s="27">
        <v>82</v>
      </c>
      <c r="W25" s="27">
        <v>0</v>
      </c>
      <c r="X25" s="27">
        <v>0</v>
      </c>
      <c r="Y25" s="31">
        <v>0</v>
      </c>
      <c r="Z25" s="559">
        <f t="shared" si="5"/>
        <v>132.80000000000001</v>
      </c>
      <c r="AA25" s="561">
        <f t="shared" si="6"/>
        <v>132.80000000000001</v>
      </c>
      <c r="AB25" s="563" t="str">
        <f t="shared" si="7"/>
        <v xml:space="preserve"> </v>
      </c>
      <c r="AC25" s="561" t="str">
        <f t="shared" si="8"/>
        <v xml:space="preserve"> </v>
      </c>
      <c r="AD25" s="562" t="str">
        <f t="shared" si="9"/>
        <v xml:space="preserve"> </v>
      </c>
    </row>
    <row r="26" spans="2:30" ht="15.75" thickBot="1" x14ac:dyDescent="0.25">
      <c r="B26" s="336" t="s">
        <v>276</v>
      </c>
      <c r="C26" s="335"/>
      <c r="D26" s="393" t="s">
        <v>213</v>
      </c>
      <c r="E26" s="333" t="s">
        <v>275</v>
      </c>
      <c r="F26" s="34">
        <f t="shared" si="0"/>
        <v>4278</v>
      </c>
      <c r="G26" s="331">
        <f>SUM(G21:G25)</f>
        <v>3159</v>
      </c>
      <c r="H26" s="331">
        <f>SUM(H21:H25)</f>
        <v>0</v>
      </c>
      <c r="I26" s="331">
        <f>SUM(I21:I25)</f>
        <v>0</v>
      </c>
      <c r="J26" s="331">
        <f>SUM(J21:J25)</f>
        <v>1119</v>
      </c>
      <c r="K26" s="34">
        <f t="shared" si="1"/>
        <v>4278</v>
      </c>
      <c r="L26" s="331">
        <f>SUM(L21:L25)</f>
        <v>3159</v>
      </c>
      <c r="M26" s="331">
        <f>SUM(M21:M25)</f>
        <v>0</v>
      </c>
      <c r="N26" s="331">
        <f>SUM(N21:N25)</f>
        <v>0</v>
      </c>
      <c r="O26" s="331">
        <f>SUM(O21:O25)</f>
        <v>1119</v>
      </c>
      <c r="P26" s="34">
        <f t="shared" si="2"/>
        <v>4125</v>
      </c>
      <c r="Q26" s="331">
        <f>SUM(Q21:Q25)</f>
        <v>3001</v>
      </c>
      <c r="R26" s="331">
        <f>SUM(R21:R25)</f>
        <v>0</v>
      </c>
      <c r="S26" s="331">
        <f>SUM(S21:S25)</f>
        <v>0</v>
      </c>
      <c r="T26" s="331">
        <f>SUM(T21:T25)</f>
        <v>1124</v>
      </c>
      <c r="U26" s="34">
        <f t="shared" si="4"/>
        <v>-153</v>
      </c>
      <c r="V26" s="331">
        <f>SUM(V21:V25)</f>
        <v>-158</v>
      </c>
      <c r="W26" s="331">
        <f>SUM(W21:W25)</f>
        <v>0</v>
      </c>
      <c r="X26" s="331">
        <f>SUM(X21:X25)</f>
        <v>0</v>
      </c>
      <c r="Y26" s="330">
        <f>SUM(Y21:Y25)</f>
        <v>5</v>
      </c>
      <c r="Z26" s="564">
        <f t="shared" si="5"/>
        <v>96.423562412342207</v>
      </c>
      <c r="AA26" s="565">
        <f t="shared" si="6"/>
        <v>94.998417220639439</v>
      </c>
      <c r="AB26" s="566" t="str">
        <f t="shared" si="7"/>
        <v xml:space="preserve"> </v>
      </c>
      <c r="AC26" s="565" t="str">
        <f t="shared" si="8"/>
        <v xml:space="preserve"> </v>
      </c>
      <c r="AD26" s="567">
        <f t="shared" si="9"/>
        <v>100.44682752457553</v>
      </c>
    </row>
    <row r="27" spans="2:30" ht="15" thickBot="1" x14ac:dyDescent="0.25">
      <c r="B27" s="339" t="s">
        <v>274</v>
      </c>
      <c r="C27" s="338" t="s">
        <v>521</v>
      </c>
      <c r="D27" s="394" t="s">
        <v>213</v>
      </c>
      <c r="E27" s="35" t="s">
        <v>572</v>
      </c>
      <c r="F27" s="30">
        <f t="shared" si="0"/>
        <v>100</v>
      </c>
      <c r="G27" s="27">
        <v>100</v>
      </c>
      <c r="H27" s="27">
        <v>0</v>
      </c>
      <c r="I27" s="27">
        <v>0</v>
      </c>
      <c r="J27" s="27">
        <v>0</v>
      </c>
      <c r="K27" s="30">
        <f t="shared" si="1"/>
        <v>100</v>
      </c>
      <c r="L27" s="27">
        <v>100</v>
      </c>
      <c r="M27" s="27">
        <v>0</v>
      </c>
      <c r="N27" s="27">
        <v>0</v>
      </c>
      <c r="O27" s="27">
        <v>0</v>
      </c>
      <c r="P27" s="30">
        <f t="shared" si="2"/>
        <v>110</v>
      </c>
      <c r="Q27" s="27">
        <v>110</v>
      </c>
      <c r="R27" s="27">
        <v>0</v>
      </c>
      <c r="S27" s="27">
        <v>0</v>
      </c>
      <c r="T27" s="27">
        <v>0</v>
      </c>
      <c r="U27" s="30">
        <f t="shared" si="4"/>
        <v>10</v>
      </c>
      <c r="V27" s="27">
        <v>10</v>
      </c>
      <c r="W27" s="27">
        <v>0</v>
      </c>
      <c r="X27" s="27">
        <v>0</v>
      </c>
      <c r="Y27" s="31">
        <v>0</v>
      </c>
      <c r="Z27" s="559">
        <f t="shared" si="5"/>
        <v>110.00000000000001</v>
      </c>
      <c r="AA27" s="561">
        <f t="shared" si="6"/>
        <v>110.00000000000001</v>
      </c>
      <c r="AB27" s="563" t="str">
        <f t="shared" si="7"/>
        <v xml:space="preserve"> </v>
      </c>
      <c r="AC27" s="561" t="str">
        <f t="shared" si="8"/>
        <v xml:space="preserve"> </v>
      </c>
      <c r="AD27" s="562" t="str">
        <f t="shared" si="9"/>
        <v xml:space="preserve"> </v>
      </c>
    </row>
    <row r="28" spans="2:30" ht="15" thickBot="1" x14ac:dyDescent="0.25">
      <c r="B28" s="339" t="s">
        <v>274</v>
      </c>
      <c r="C28" s="338" t="s">
        <v>516</v>
      </c>
      <c r="D28" s="394" t="s">
        <v>213</v>
      </c>
      <c r="E28" s="35" t="s">
        <v>572</v>
      </c>
      <c r="F28" s="30">
        <f t="shared" si="0"/>
        <v>6242</v>
      </c>
      <c r="G28" s="27">
        <v>1900</v>
      </c>
      <c r="H28" s="27">
        <v>0</v>
      </c>
      <c r="I28" s="27">
        <v>0</v>
      </c>
      <c r="J28" s="27">
        <v>4342</v>
      </c>
      <c r="K28" s="30">
        <f t="shared" si="1"/>
        <v>6242</v>
      </c>
      <c r="L28" s="27">
        <v>1900</v>
      </c>
      <c r="M28" s="27">
        <v>0</v>
      </c>
      <c r="N28" s="27">
        <v>0</v>
      </c>
      <c r="O28" s="27">
        <v>4342</v>
      </c>
      <c r="P28" s="30">
        <f t="shared" si="2"/>
        <v>6405</v>
      </c>
      <c r="Q28" s="27">
        <v>1640</v>
      </c>
      <c r="R28" s="27">
        <v>0</v>
      </c>
      <c r="S28" s="27">
        <v>0</v>
      </c>
      <c r="T28" s="27">
        <v>4765</v>
      </c>
      <c r="U28" s="30">
        <f t="shared" si="4"/>
        <v>163</v>
      </c>
      <c r="V28" s="27">
        <v>-260</v>
      </c>
      <c r="W28" s="27">
        <v>0</v>
      </c>
      <c r="X28" s="27">
        <v>0</v>
      </c>
      <c r="Y28" s="31">
        <v>423</v>
      </c>
      <c r="Z28" s="559">
        <f t="shared" si="5"/>
        <v>102.61134251842358</v>
      </c>
      <c r="AA28" s="561">
        <f t="shared" si="6"/>
        <v>86.31578947368422</v>
      </c>
      <c r="AB28" s="563" t="str">
        <f t="shared" si="7"/>
        <v xml:space="preserve"> </v>
      </c>
      <c r="AC28" s="561" t="str">
        <f t="shared" si="8"/>
        <v xml:space="preserve"> </v>
      </c>
      <c r="AD28" s="562">
        <f t="shared" si="9"/>
        <v>109.7420543528328</v>
      </c>
    </row>
    <row r="29" spans="2:30" ht="15" thickBot="1" x14ac:dyDescent="0.25">
      <c r="B29" s="339" t="s">
        <v>274</v>
      </c>
      <c r="C29" s="338" t="s">
        <v>498</v>
      </c>
      <c r="D29" s="394" t="s">
        <v>213</v>
      </c>
      <c r="E29" s="35" t="s">
        <v>572</v>
      </c>
      <c r="F29" s="30">
        <f t="shared" si="0"/>
        <v>150</v>
      </c>
      <c r="G29" s="27">
        <v>150</v>
      </c>
      <c r="H29" s="27">
        <v>0</v>
      </c>
      <c r="I29" s="27">
        <v>0</v>
      </c>
      <c r="J29" s="27">
        <v>0</v>
      </c>
      <c r="K29" s="30">
        <f t="shared" si="1"/>
        <v>150</v>
      </c>
      <c r="L29" s="27">
        <v>150</v>
      </c>
      <c r="M29" s="27">
        <v>0</v>
      </c>
      <c r="N29" s="27">
        <v>0</v>
      </c>
      <c r="O29" s="27">
        <v>0</v>
      </c>
      <c r="P29" s="30">
        <f t="shared" si="2"/>
        <v>163</v>
      </c>
      <c r="Q29" s="27">
        <v>163</v>
      </c>
      <c r="R29" s="27">
        <v>0</v>
      </c>
      <c r="S29" s="27">
        <v>0</v>
      </c>
      <c r="T29" s="27">
        <v>0</v>
      </c>
      <c r="U29" s="30">
        <f t="shared" si="4"/>
        <v>13</v>
      </c>
      <c r="V29" s="27">
        <v>13</v>
      </c>
      <c r="W29" s="27">
        <v>0</v>
      </c>
      <c r="X29" s="27">
        <v>0</v>
      </c>
      <c r="Y29" s="31">
        <v>0</v>
      </c>
      <c r="Z29" s="559">
        <f t="shared" si="5"/>
        <v>108.66666666666667</v>
      </c>
      <c r="AA29" s="561">
        <f t="shared" si="6"/>
        <v>108.66666666666667</v>
      </c>
      <c r="AB29" s="563" t="str">
        <f t="shared" si="7"/>
        <v xml:space="preserve"> </v>
      </c>
      <c r="AC29" s="561" t="str">
        <f t="shared" si="8"/>
        <v xml:space="preserve"> </v>
      </c>
      <c r="AD29" s="562" t="str">
        <f t="shared" si="9"/>
        <v xml:space="preserve"> </v>
      </c>
    </row>
    <row r="30" spans="2:30" ht="15" thickBot="1" x14ac:dyDescent="0.25">
      <c r="B30" s="339" t="s">
        <v>274</v>
      </c>
      <c r="C30" s="338" t="s">
        <v>520</v>
      </c>
      <c r="D30" s="394" t="s">
        <v>213</v>
      </c>
      <c r="E30" s="35" t="s">
        <v>572</v>
      </c>
      <c r="F30" s="30">
        <f t="shared" si="0"/>
        <v>0</v>
      </c>
      <c r="G30" s="27">
        <v>0</v>
      </c>
      <c r="H30" s="27">
        <v>0</v>
      </c>
      <c r="I30" s="27">
        <v>0</v>
      </c>
      <c r="J30" s="27">
        <v>0</v>
      </c>
      <c r="K30" s="30">
        <f t="shared" si="1"/>
        <v>0</v>
      </c>
      <c r="L30" s="27">
        <v>0</v>
      </c>
      <c r="M30" s="27">
        <v>0</v>
      </c>
      <c r="N30" s="27">
        <v>0</v>
      </c>
      <c r="O30" s="27">
        <v>0</v>
      </c>
      <c r="P30" s="30">
        <f t="shared" si="2"/>
        <v>48</v>
      </c>
      <c r="Q30" s="27">
        <v>48</v>
      </c>
      <c r="R30" s="27">
        <v>0</v>
      </c>
      <c r="S30" s="27">
        <v>0</v>
      </c>
      <c r="T30" s="27">
        <v>0</v>
      </c>
      <c r="U30" s="30">
        <f t="shared" si="4"/>
        <v>48</v>
      </c>
      <c r="V30" s="27">
        <v>48</v>
      </c>
      <c r="W30" s="27">
        <v>0</v>
      </c>
      <c r="X30" s="27">
        <v>0</v>
      </c>
      <c r="Y30" s="31">
        <v>0</v>
      </c>
      <c r="Z30" s="559" t="str">
        <f t="shared" si="5"/>
        <v xml:space="preserve"> </v>
      </c>
      <c r="AA30" s="561" t="str">
        <f t="shared" si="6"/>
        <v xml:space="preserve"> </v>
      </c>
      <c r="AB30" s="563" t="str">
        <f t="shared" si="7"/>
        <v xml:space="preserve"> </v>
      </c>
      <c r="AC30" s="561" t="str">
        <f t="shared" si="8"/>
        <v xml:space="preserve"> </v>
      </c>
      <c r="AD30" s="562" t="str">
        <f t="shared" si="9"/>
        <v xml:space="preserve"> </v>
      </c>
    </row>
    <row r="31" spans="2:30" ht="15" thickBot="1" x14ac:dyDescent="0.25">
      <c r="B31" s="339" t="s">
        <v>274</v>
      </c>
      <c r="C31" s="338" t="s">
        <v>519</v>
      </c>
      <c r="D31" s="394" t="s">
        <v>213</v>
      </c>
      <c r="E31" s="35" t="s">
        <v>572</v>
      </c>
      <c r="F31" s="30">
        <f t="shared" si="0"/>
        <v>815</v>
      </c>
      <c r="G31" s="27">
        <v>815</v>
      </c>
      <c r="H31" s="27">
        <v>0</v>
      </c>
      <c r="I31" s="27">
        <v>0</v>
      </c>
      <c r="J31" s="27">
        <v>0</v>
      </c>
      <c r="K31" s="30">
        <f t="shared" si="1"/>
        <v>815</v>
      </c>
      <c r="L31" s="27">
        <v>815</v>
      </c>
      <c r="M31" s="27">
        <v>0</v>
      </c>
      <c r="N31" s="27">
        <v>0</v>
      </c>
      <c r="O31" s="27">
        <v>0</v>
      </c>
      <c r="P31" s="30">
        <f t="shared" si="2"/>
        <v>855</v>
      </c>
      <c r="Q31" s="27">
        <v>855</v>
      </c>
      <c r="R31" s="27">
        <v>0</v>
      </c>
      <c r="S31" s="27">
        <v>0</v>
      </c>
      <c r="T31" s="27">
        <v>0</v>
      </c>
      <c r="U31" s="30">
        <f t="shared" si="4"/>
        <v>40</v>
      </c>
      <c r="V31" s="27">
        <v>40</v>
      </c>
      <c r="W31" s="27">
        <v>0</v>
      </c>
      <c r="X31" s="27">
        <v>0</v>
      </c>
      <c r="Y31" s="31">
        <v>0</v>
      </c>
      <c r="Z31" s="559">
        <f t="shared" si="5"/>
        <v>104.9079754601227</v>
      </c>
      <c r="AA31" s="561">
        <f t="shared" si="6"/>
        <v>104.9079754601227</v>
      </c>
      <c r="AB31" s="563" t="str">
        <f t="shared" si="7"/>
        <v xml:space="preserve"> </v>
      </c>
      <c r="AC31" s="561" t="str">
        <f t="shared" si="8"/>
        <v xml:space="preserve"> </v>
      </c>
      <c r="AD31" s="562" t="str">
        <f t="shared" si="9"/>
        <v xml:space="preserve"> </v>
      </c>
    </row>
    <row r="32" spans="2:30" ht="15" thickBot="1" x14ac:dyDescent="0.25">
      <c r="B32" s="339" t="s">
        <v>274</v>
      </c>
      <c r="C32" s="338" t="s">
        <v>496</v>
      </c>
      <c r="D32" s="394" t="s">
        <v>213</v>
      </c>
      <c r="E32" s="35" t="s">
        <v>572</v>
      </c>
      <c r="F32" s="30">
        <f t="shared" si="0"/>
        <v>50</v>
      </c>
      <c r="G32" s="27">
        <v>50</v>
      </c>
      <c r="H32" s="27">
        <v>0</v>
      </c>
      <c r="I32" s="27">
        <v>0</v>
      </c>
      <c r="J32" s="27">
        <v>0</v>
      </c>
      <c r="K32" s="30">
        <f t="shared" si="1"/>
        <v>50</v>
      </c>
      <c r="L32" s="27">
        <v>50</v>
      </c>
      <c r="M32" s="27">
        <v>0</v>
      </c>
      <c r="N32" s="27">
        <v>0</v>
      </c>
      <c r="O32" s="27">
        <v>0</v>
      </c>
      <c r="P32" s="30">
        <f t="shared" si="2"/>
        <v>48</v>
      </c>
      <c r="Q32" s="27">
        <v>48</v>
      </c>
      <c r="R32" s="27">
        <v>0</v>
      </c>
      <c r="S32" s="27">
        <v>0</v>
      </c>
      <c r="T32" s="27">
        <v>0</v>
      </c>
      <c r="U32" s="30">
        <f t="shared" si="4"/>
        <v>-2</v>
      </c>
      <c r="V32" s="27">
        <v>-2</v>
      </c>
      <c r="W32" s="27">
        <v>0</v>
      </c>
      <c r="X32" s="27">
        <v>0</v>
      </c>
      <c r="Y32" s="31">
        <v>0</v>
      </c>
      <c r="Z32" s="559">
        <f t="shared" si="5"/>
        <v>96</v>
      </c>
      <c r="AA32" s="561">
        <f t="shared" si="6"/>
        <v>96</v>
      </c>
      <c r="AB32" s="563" t="str">
        <f t="shared" si="7"/>
        <v xml:space="preserve"> </v>
      </c>
      <c r="AC32" s="561" t="str">
        <f t="shared" si="8"/>
        <v xml:space="preserve"> </v>
      </c>
      <c r="AD32" s="562" t="str">
        <f t="shared" si="9"/>
        <v xml:space="preserve"> </v>
      </c>
    </row>
    <row r="33" spans="2:30" ht="26.25" thickBot="1" x14ac:dyDescent="0.25">
      <c r="B33" s="336" t="s">
        <v>274</v>
      </c>
      <c r="C33" s="335"/>
      <c r="D33" s="393" t="s">
        <v>213</v>
      </c>
      <c r="E33" s="333" t="s">
        <v>572</v>
      </c>
      <c r="F33" s="34">
        <f t="shared" si="0"/>
        <v>7357</v>
      </c>
      <c r="G33" s="331">
        <f>SUM(G27:G32)</f>
        <v>3015</v>
      </c>
      <c r="H33" s="331">
        <f>SUM(H27:H32)</f>
        <v>0</v>
      </c>
      <c r="I33" s="331">
        <f>SUM(I27:I32)</f>
        <v>0</v>
      </c>
      <c r="J33" s="331">
        <f>SUM(J27:J32)</f>
        <v>4342</v>
      </c>
      <c r="K33" s="34">
        <f t="shared" si="1"/>
        <v>7357</v>
      </c>
      <c r="L33" s="331">
        <f>SUM(L27:L32)</f>
        <v>3015</v>
      </c>
      <c r="M33" s="331">
        <f>SUM(M27:M32)</f>
        <v>0</v>
      </c>
      <c r="N33" s="331">
        <f>SUM(N27:N32)</f>
        <v>0</v>
      </c>
      <c r="O33" s="331">
        <f>SUM(O27:O32)</f>
        <v>4342</v>
      </c>
      <c r="P33" s="34">
        <f t="shared" si="2"/>
        <v>7629</v>
      </c>
      <c r="Q33" s="331">
        <f>SUM(Q27:Q32)</f>
        <v>2864</v>
      </c>
      <c r="R33" s="331">
        <f>SUM(R27:R32)</f>
        <v>0</v>
      </c>
      <c r="S33" s="331">
        <f>SUM(S27:S32)</f>
        <v>0</v>
      </c>
      <c r="T33" s="331">
        <f>SUM(T27:T32)</f>
        <v>4765</v>
      </c>
      <c r="U33" s="34">
        <f t="shared" si="4"/>
        <v>272</v>
      </c>
      <c r="V33" s="331">
        <f>SUM(V27:V32)</f>
        <v>-151</v>
      </c>
      <c r="W33" s="331">
        <f>SUM(W27:W32)</f>
        <v>0</v>
      </c>
      <c r="X33" s="331">
        <f>SUM(X27:X32)</f>
        <v>0</v>
      </c>
      <c r="Y33" s="330">
        <f>SUM(Y27:Y32)</f>
        <v>423</v>
      </c>
      <c r="Z33" s="564">
        <f t="shared" si="5"/>
        <v>103.69715916813919</v>
      </c>
      <c r="AA33" s="565">
        <f t="shared" si="6"/>
        <v>94.991708126036485</v>
      </c>
      <c r="AB33" s="566" t="str">
        <f t="shared" si="7"/>
        <v xml:space="preserve"> </v>
      </c>
      <c r="AC33" s="565" t="str">
        <f t="shared" si="8"/>
        <v xml:space="preserve"> </v>
      </c>
      <c r="AD33" s="567">
        <f t="shared" si="9"/>
        <v>109.7420543528328</v>
      </c>
    </row>
    <row r="34" spans="2:30" ht="15" thickBot="1" x14ac:dyDescent="0.25">
      <c r="B34" s="339" t="s">
        <v>273</v>
      </c>
      <c r="C34" s="338" t="s">
        <v>516</v>
      </c>
      <c r="D34" s="394" t="s">
        <v>213</v>
      </c>
      <c r="E34" s="35" t="s">
        <v>272</v>
      </c>
      <c r="F34" s="30">
        <f t="shared" si="0"/>
        <v>2422</v>
      </c>
      <c r="G34" s="27">
        <v>2388</v>
      </c>
      <c r="H34" s="27">
        <v>0</v>
      </c>
      <c r="I34" s="27">
        <v>0</v>
      </c>
      <c r="J34" s="27">
        <v>34</v>
      </c>
      <c r="K34" s="30">
        <f t="shared" si="1"/>
        <v>2422</v>
      </c>
      <c r="L34" s="27">
        <v>2388</v>
      </c>
      <c r="M34" s="27">
        <v>0</v>
      </c>
      <c r="N34" s="27">
        <v>0</v>
      </c>
      <c r="O34" s="27">
        <v>34</v>
      </c>
      <c r="P34" s="30">
        <f t="shared" si="2"/>
        <v>2151</v>
      </c>
      <c r="Q34" s="27">
        <v>2117</v>
      </c>
      <c r="R34" s="27">
        <v>0</v>
      </c>
      <c r="S34" s="27">
        <v>0</v>
      </c>
      <c r="T34" s="27">
        <v>34</v>
      </c>
      <c r="U34" s="30">
        <f t="shared" si="4"/>
        <v>-271</v>
      </c>
      <c r="V34" s="27">
        <v>-271</v>
      </c>
      <c r="W34" s="27">
        <v>0</v>
      </c>
      <c r="X34" s="27">
        <v>0</v>
      </c>
      <c r="Y34" s="31">
        <v>0</v>
      </c>
      <c r="Z34" s="559">
        <f t="shared" si="5"/>
        <v>88.810900082576381</v>
      </c>
      <c r="AA34" s="561">
        <f t="shared" si="6"/>
        <v>88.651591289782246</v>
      </c>
      <c r="AB34" s="563" t="str">
        <f t="shared" si="7"/>
        <v xml:space="preserve"> </v>
      </c>
      <c r="AC34" s="561" t="str">
        <f t="shared" si="8"/>
        <v xml:space="preserve"> </v>
      </c>
      <c r="AD34" s="562">
        <f t="shared" si="9"/>
        <v>100</v>
      </c>
    </row>
    <row r="35" spans="2:30" ht="15" thickBot="1" x14ac:dyDescent="0.25">
      <c r="B35" s="339" t="s">
        <v>273</v>
      </c>
      <c r="C35" s="338" t="s">
        <v>514</v>
      </c>
      <c r="D35" s="394" t="s">
        <v>213</v>
      </c>
      <c r="E35" s="35" t="s">
        <v>272</v>
      </c>
      <c r="F35" s="30">
        <f t="shared" si="0"/>
        <v>0</v>
      </c>
      <c r="G35" s="27">
        <v>0</v>
      </c>
      <c r="H35" s="27">
        <v>0</v>
      </c>
      <c r="I35" s="27">
        <v>0</v>
      </c>
      <c r="J35" s="27">
        <v>0</v>
      </c>
      <c r="K35" s="30">
        <f t="shared" si="1"/>
        <v>0</v>
      </c>
      <c r="L35" s="27">
        <v>0</v>
      </c>
      <c r="M35" s="27">
        <v>0</v>
      </c>
      <c r="N35" s="27">
        <v>0</v>
      </c>
      <c r="O35" s="27">
        <v>0</v>
      </c>
      <c r="P35" s="30">
        <f t="shared" si="2"/>
        <v>120</v>
      </c>
      <c r="Q35" s="27">
        <v>120</v>
      </c>
      <c r="R35" s="27">
        <v>0</v>
      </c>
      <c r="S35" s="27">
        <v>0</v>
      </c>
      <c r="T35" s="27">
        <v>0</v>
      </c>
      <c r="U35" s="30">
        <f t="shared" si="4"/>
        <v>120</v>
      </c>
      <c r="V35" s="27">
        <v>120</v>
      </c>
      <c r="W35" s="27">
        <v>0</v>
      </c>
      <c r="X35" s="27">
        <v>0</v>
      </c>
      <c r="Y35" s="31">
        <v>0</v>
      </c>
      <c r="Z35" s="559" t="str">
        <f t="shared" si="5"/>
        <v xml:space="preserve"> </v>
      </c>
      <c r="AA35" s="561" t="str">
        <f t="shared" si="6"/>
        <v xml:space="preserve"> </v>
      </c>
      <c r="AB35" s="563" t="str">
        <f t="shared" si="7"/>
        <v xml:space="preserve"> </v>
      </c>
      <c r="AC35" s="561" t="str">
        <f t="shared" si="8"/>
        <v xml:space="preserve"> </v>
      </c>
      <c r="AD35" s="562" t="str">
        <f t="shared" si="9"/>
        <v xml:space="preserve"> </v>
      </c>
    </row>
    <row r="36" spans="2:30" ht="15" thickBot="1" x14ac:dyDescent="0.25">
      <c r="B36" s="339" t="s">
        <v>273</v>
      </c>
      <c r="C36" s="338" t="s">
        <v>498</v>
      </c>
      <c r="D36" s="394" t="s">
        <v>213</v>
      </c>
      <c r="E36" s="35" t="s">
        <v>272</v>
      </c>
      <c r="F36" s="30">
        <f t="shared" si="0"/>
        <v>100</v>
      </c>
      <c r="G36" s="27">
        <v>100</v>
      </c>
      <c r="H36" s="27">
        <v>0</v>
      </c>
      <c r="I36" s="27">
        <v>0</v>
      </c>
      <c r="J36" s="27">
        <v>0</v>
      </c>
      <c r="K36" s="30">
        <f t="shared" si="1"/>
        <v>100</v>
      </c>
      <c r="L36" s="27">
        <v>100</v>
      </c>
      <c r="M36" s="27">
        <v>0</v>
      </c>
      <c r="N36" s="27">
        <v>0</v>
      </c>
      <c r="O36" s="27">
        <v>0</v>
      </c>
      <c r="P36" s="30">
        <f t="shared" si="2"/>
        <v>140</v>
      </c>
      <c r="Q36" s="27">
        <v>140</v>
      </c>
      <c r="R36" s="27">
        <v>0</v>
      </c>
      <c r="S36" s="27">
        <v>0</v>
      </c>
      <c r="T36" s="27">
        <v>0</v>
      </c>
      <c r="U36" s="30">
        <f t="shared" si="4"/>
        <v>40</v>
      </c>
      <c r="V36" s="27">
        <v>40</v>
      </c>
      <c r="W36" s="27">
        <v>0</v>
      </c>
      <c r="X36" s="27">
        <v>0</v>
      </c>
      <c r="Y36" s="31">
        <v>0</v>
      </c>
      <c r="Z36" s="559">
        <f t="shared" si="5"/>
        <v>140</v>
      </c>
      <c r="AA36" s="561">
        <f t="shared" si="6"/>
        <v>140</v>
      </c>
      <c r="AB36" s="563" t="str">
        <f t="shared" si="7"/>
        <v xml:space="preserve"> </v>
      </c>
      <c r="AC36" s="561" t="str">
        <f t="shared" si="8"/>
        <v xml:space="preserve"> </v>
      </c>
      <c r="AD36" s="562" t="str">
        <f t="shared" si="9"/>
        <v xml:space="preserve"> </v>
      </c>
    </row>
    <row r="37" spans="2:30" ht="15" thickBot="1" x14ac:dyDescent="0.25">
      <c r="B37" s="339" t="s">
        <v>273</v>
      </c>
      <c r="C37" s="338" t="s">
        <v>520</v>
      </c>
      <c r="D37" s="394" t="s">
        <v>213</v>
      </c>
      <c r="E37" s="35" t="s">
        <v>272</v>
      </c>
      <c r="F37" s="30">
        <f t="shared" si="0"/>
        <v>40</v>
      </c>
      <c r="G37" s="27">
        <v>40</v>
      </c>
      <c r="H37" s="27">
        <v>0</v>
      </c>
      <c r="I37" s="27">
        <v>0</v>
      </c>
      <c r="J37" s="27">
        <v>0</v>
      </c>
      <c r="K37" s="30">
        <f t="shared" si="1"/>
        <v>40</v>
      </c>
      <c r="L37" s="27">
        <v>40</v>
      </c>
      <c r="M37" s="27">
        <v>0</v>
      </c>
      <c r="N37" s="27">
        <v>0</v>
      </c>
      <c r="O37" s="27">
        <v>0</v>
      </c>
      <c r="P37" s="30">
        <f t="shared" si="2"/>
        <v>40</v>
      </c>
      <c r="Q37" s="27">
        <v>40</v>
      </c>
      <c r="R37" s="27">
        <v>0</v>
      </c>
      <c r="S37" s="27">
        <v>0</v>
      </c>
      <c r="T37" s="27">
        <v>0</v>
      </c>
      <c r="U37" s="30">
        <f t="shared" si="4"/>
        <v>0</v>
      </c>
      <c r="V37" s="27">
        <v>0</v>
      </c>
      <c r="W37" s="27">
        <v>0</v>
      </c>
      <c r="X37" s="27">
        <v>0</v>
      </c>
      <c r="Y37" s="31">
        <v>0</v>
      </c>
      <c r="Z37" s="559">
        <f t="shared" si="5"/>
        <v>100</v>
      </c>
      <c r="AA37" s="561">
        <f t="shared" si="6"/>
        <v>100</v>
      </c>
      <c r="AB37" s="563" t="str">
        <f t="shared" si="7"/>
        <v xml:space="preserve"> </v>
      </c>
      <c r="AC37" s="561" t="str">
        <f t="shared" si="8"/>
        <v xml:space="preserve"> </v>
      </c>
      <c r="AD37" s="562" t="str">
        <f t="shared" si="9"/>
        <v xml:space="preserve"> </v>
      </c>
    </row>
    <row r="38" spans="2:30" ht="15" thickBot="1" x14ac:dyDescent="0.25">
      <c r="B38" s="339" t="s">
        <v>273</v>
      </c>
      <c r="C38" s="338" t="s">
        <v>519</v>
      </c>
      <c r="D38" s="394" t="s">
        <v>213</v>
      </c>
      <c r="E38" s="35" t="s">
        <v>272</v>
      </c>
      <c r="F38" s="30">
        <f t="shared" si="0"/>
        <v>350</v>
      </c>
      <c r="G38" s="27">
        <v>350</v>
      </c>
      <c r="H38" s="27">
        <v>0</v>
      </c>
      <c r="I38" s="27">
        <v>0</v>
      </c>
      <c r="J38" s="27">
        <v>0</v>
      </c>
      <c r="K38" s="30">
        <f t="shared" si="1"/>
        <v>350</v>
      </c>
      <c r="L38" s="27">
        <v>350</v>
      </c>
      <c r="M38" s="27">
        <v>0</v>
      </c>
      <c r="N38" s="27">
        <v>0</v>
      </c>
      <c r="O38" s="27">
        <v>0</v>
      </c>
      <c r="P38" s="30">
        <f t="shared" si="2"/>
        <v>320</v>
      </c>
      <c r="Q38" s="27">
        <v>320</v>
      </c>
      <c r="R38" s="27">
        <v>0</v>
      </c>
      <c r="S38" s="27">
        <v>0</v>
      </c>
      <c r="T38" s="27">
        <v>0</v>
      </c>
      <c r="U38" s="30">
        <f t="shared" si="4"/>
        <v>-30</v>
      </c>
      <c r="V38" s="27">
        <v>-30</v>
      </c>
      <c r="W38" s="27">
        <v>0</v>
      </c>
      <c r="X38" s="27">
        <v>0</v>
      </c>
      <c r="Y38" s="31">
        <v>0</v>
      </c>
      <c r="Z38" s="559">
        <f t="shared" si="5"/>
        <v>91.428571428571431</v>
      </c>
      <c r="AA38" s="561">
        <f t="shared" si="6"/>
        <v>91.428571428571431</v>
      </c>
      <c r="AB38" s="563" t="str">
        <f t="shared" si="7"/>
        <v xml:space="preserve"> </v>
      </c>
      <c r="AC38" s="561" t="str">
        <f t="shared" si="8"/>
        <v xml:space="preserve"> </v>
      </c>
      <c r="AD38" s="562" t="str">
        <f t="shared" si="9"/>
        <v xml:space="preserve"> </v>
      </c>
    </row>
    <row r="39" spans="2:30" ht="15" thickBot="1" x14ac:dyDescent="0.25">
      <c r="B39" s="339" t="s">
        <v>273</v>
      </c>
      <c r="C39" s="338" t="s">
        <v>496</v>
      </c>
      <c r="D39" s="394" t="s">
        <v>213</v>
      </c>
      <c r="E39" s="35" t="s">
        <v>272</v>
      </c>
      <c r="F39" s="30">
        <f t="shared" si="0"/>
        <v>140</v>
      </c>
      <c r="G39" s="27">
        <v>140</v>
      </c>
      <c r="H39" s="27">
        <v>0</v>
      </c>
      <c r="I39" s="27">
        <v>0</v>
      </c>
      <c r="J39" s="27">
        <v>0</v>
      </c>
      <c r="K39" s="30">
        <f t="shared" si="1"/>
        <v>140</v>
      </c>
      <c r="L39" s="27">
        <v>140</v>
      </c>
      <c r="M39" s="27">
        <v>0</v>
      </c>
      <c r="N39" s="27">
        <v>0</v>
      </c>
      <c r="O39" s="27">
        <v>0</v>
      </c>
      <c r="P39" s="30">
        <f t="shared" si="2"/>
        <v>130</v>
      </c>
      <c r="Q39" s="27">
        <v>130</v>
      </c>
      <c r="R39" s="27">
        <v>0</v>
      </c>
      <c r="S39" s="27">
        <v>0</v>
      </c>
      <c r="T39" s="27">
        <v>0</v>
      </c>
      <c r="U39" s="30">
        <f t="shared" si="4"/>
        <v>-10</v>
      </c>
      <c r="V39" s="27">
        <v>-10</v>
      </c>
      <c r="W39" s="27">
        <v>0</v>
      </c>
      <c r="X39" s="27">
        <v>0</v>
      </c>
      <c r="Y39" s="31">
        <v>0</v>
      </c>
      <c r="Z39" s="559">
        <f t="shared" si="5"/>
        <v>92.857142857142861</v>
      </c>
      <c r="AA39" s="561">
        <f t="shared" si="6"/>
        <v>92.857142857142861</v>
      </c>
      <c r="AB39" s="563" t="str">
        <f t="shared" si="7"/>
        <v xml:space="preserve"> </v>
      </c>
      <c r="AC39" s="561" t="str">
        <f t="shared" si="8"/>
        <v xml:space="preserve"> </v>
      </c>
      <c r="AD39" s="562" t="str">
        <f t="shared" si="9"/>
        <v xml:space="preserve"> </v>
      </c>
    </row>
    <row r="40" spans="2:30" ht="15.75" thickBot="1" x14ac:dyDescent="0.25">
      <c r="B40" s="336" t="s">
        <v>273</v>
      </c>
      <c r="C40" s="335"/>
      <c r="D40" s="393" t="s">
        <v>213</v>
      </c>
      <c r="E40" s="333" t="s">
        <v>272</v>
      </c>
      <c r="F40" s="34">
        <f t="shared" si="0"/>
        <v>3052</v>
      </c>
      <c r="G40" s="331">
        <f>SUM(G34:G39)</f>
        <v>3018</v>
      </c>
      <c r="H40" s="331">
        <f>SUM(H34:H39)</f>
        <v>0</v>
      </c>
      <c r="I40" s="331">
        <f>SUM(I34:I39)</f>
        <v>0</v>
      </c>
      <c r="J40" s="331">
        <f>SUM(J34:J39)</f>
        <v>34</v>
      </c>
      <c r="K40" s="34">
        <f t="shared" si="1"/>
        <v>3052</v>
      </c>
      <c r="L40" s="331">
        <f>SUM(L34:L39)</f>
        <v>3018</v>
      </c>
      <c r="M40" s="331">
        <f>SUM(M34:M39)</f>
        <v>0</v>
      </c>
      <c r="N40" s="331">
        <f>SUM(N34:N39)</f>
        <v>0</v>
      </c>
      <c r="O40" s="331">
        <f>SUM(O34:O39)</f>
        <v>34</v>
      </c>
      <c r="P40" s="34">
        <f t="shared" si="2"/>
        <v>2901</v>
      </c>
      <c r="Q40" s="331">
        <f>SUM(Q34:Q39)</f>
        <v>2867</v>
      </c>
      <c r="R40" s="331">
        <f>SUM(R34:R39)</f>
        <v>0</v>
      </c>
      <c r="S40" s="331">
        <f>SUM(S34:S39)</f>
        <v>0</v>
      </c>
      <c r="T40" s="331">
        <f>SUM(T34:T39)</f>
        <v>34</v>
      </c>
      <c r="U40" s="34">
        <f t="shared" si="4"/>
        <v>-151</v>
      </c>
      <c r="V40" s="331">
        <f>SUM(V34:V39)</f>
        <v>-151</v>
      </c>
      <c r="W40" s="331">
        <f>SUM(W34:W39)</f>
        <v>0</v>
      </c>
      <c r="X40" s="331">
        <f>SUM(X34:X39)</f>
        <v>0</v>
      </c>
      <c r="Y40" s="330">
        <f>SUM(Y34:Y39)</f>
        <v>0</v>
      </c>
      <c r="Z40" s="559">
        <f t="shared" si="5"/>
        <v>95.052424639580607</v>
      </c>
      <c r="AA40" s="561">
        <f t="shared" si="6"/>
        <v>94.996686547382367</v>
      </c>
      <c r="AB40" s="563" t="str">
        <f t="shared" si="7"/>
        <v xml:space="preserve"> </v>
      </c>
      <c r="AC40" s="561" t="str">
        <f t="shared" si="8"/>
        <v xml:space="preserve"> </v>
      </c>
      <c r="AD40" s="562">
        <f t="shared" si="9"/>
        <v>100</v>
      </c>
    </row>
    <row r="41" spans="2:30" ht="15" thickBot="1" x14ac:dyDescent="0.25">
      <c r="B41" s="339" t="s">
        <v>271</v>
      </c>
      <c r="C41" s="338" t="s">
        <v>514</v>
      </c>
      <c r="D41" s="394" t="s">
        <v>213</v>
      </c>
      <c r="E41" s="35" t="s">
        <v>518</v>
      </c>
      <c r="F41" s="30">
        <f t="shared" si="0"/>
        <v>2640</v>
      </c>
      <c r="G41" s="27">
        <v>2553</v>
      </c>
      <c r="H41" s="27">
        <v>0</v>
      </c>
      <c r="I41" s="27">
        <v>0</v>
      </c>
      <c r="J41" s="27">
        <v>87</v>
      </c>
      <c r="K41" s="30">
        <f t="shared" si="1"/>
        <v>2640</v>
      </c>
      <c r="L41" s="27">
        <v>2553</v>
      </c>
      <c r="M41" s="27">
        <v>0</v>
      </c>
      <c r="N41" s="27">
        <v>0</v>
      </c>
      <c r="O41" s="27">
        <v>87</v>
      </c>
      <c r="P41" s="30">
        <f t="shared" si="2"/>
        <v>2555</v>
      </c>
      <c r="Q41" s="27">
        <v>2444</v>
      </c>
      <c r="R41" s="27">
        <v>0</v>
      </c>
      <c r="S41" s="27">
        <v>0</v>
      </c>
      <c r="T41" s="27">
        <v>111</v>
      </c>
      <c r="U41" s="30">
        <f t="shared" si="4"/>
        <v>-85</v>
      </c>
      <c r="V41" s="27">
        <v>-109</v>
      </c>
      <c r="W41" s="27">
        <v>0</v>
      </c>
      <c r="X41" s="27">
        <v>0</v>
      </c>
      <c r="Y41" s="31">
        <v>24</v>
      </c>
      <c r="Z41" s="559">
        <f t="shared" si="5"/>
        <v>96.780303030303031</v>
      </c>
      <c r="AA41" s="561">
        <f t="shared" si="6"/>
        <v>95.730513121817467</v>
      </c>
      <c r="AB41" s="563" t="str">
        <f t="shared" si="7"/>
        <v xml:space="preserve"> </v>
      </c>
      <c r="AC41" s="561" t="str">
        <f t="shared" si="8"/>
        <v xml:space="preserve"> </v>
      </c>
      <c r="AD41" s="562">
        <f t="shared" si="9"/>
        <v>127.58620689655173</v>
      </c>
    </row>
    <row r="42" spans="2:30" ht="15" thickBot="1" x14ac:dyDescent="0.25">
      <c r="B42" s="339" t="s">
        <v>271</v>
      </c>
      <c r="C42" s="338" t="s">
        <v>498</v>
      </c>
      <c r="D42" s="394" t="s">
        <v>213</v>
      </c>
      <c r="E42" s="35" t="s">
        <v>518</v>
      </c>
      <c r="F42" s="30">
        <f t="shared" si="0"/>
        <v>434</v>
      </c>
      <c r="G42" s="27">
        <v>331</v>
      </c>
      <c r="H42" s="27">
        <v>65</v>
      </c>
      <c r="I42" s="27">
        <v>0</v>
      </c>
      <c r="J42" s="27">
        <v>38</v>
      </c>
      <c r="K42" s="30">
        <f t="shared" si="1"/>
        <v>434</v>
      </c>
      <c r="L42" s="27">
        <v>331</v>
      </c>
      <c r="M42" s="27">
        <v>65</v>
      </c>
      <c r="N42" s="27">
        <v>0</v>
      </c>
      <c r="O42" s="27">
        <v>38</v>
      </c>
      <c r="P42" s="30">
        <f t="shared" si="2"/>
        <v>398</v>
      </c>
      <c r="Q42" s="27">
        <v>300</v>
      </c>
      <c r="R42" s="27">
        <v>60</v>
      </c>
      <c r="S42" s="27">
        <v>0</v>
      </c>
      <c r="T42" s="27">
        <v>38</v>
      </c>
      <c r="U42" s="30">
        <f t="shared" si="4"/>
        <v>-36</v>
      </c>
      <c r="V42" s="27">
        <v>-31</v>
      </c>
      <c r="W42" s="27">
        <v>-5</v>
      </c>
      <c r="X42" s="27">
        <v>0</v>
      </c>
      <c r="Y42" s="31">
        <v>0</v>
      </c>
      <c r="Z42" s="559">
        <f t="shared" si="5"/>
        <v>91.705069124423972</v>
      </c>
      <c r="AA42" s="561">
        <f t="shared" si="6"/>
        <v>90.634441087613297</v>
      </c>
      <c r="AB42" s="563">
        <f t="shared" si="7"/>
        <v>92.307692307692307</v>
      </c>
      <c r="AC42" s="561" t="str">
        <f t="shared" si="8"/>
        <v xml:space="preserve"> </v>
      </c>
      <c r="AD42" s="562">
        <f t="shared" si="9"/>
        <v>100</v>
      </c>
    </row>
    <row r="43" spans="2:30" ht="15" thickBot="1" x14ac:dyDescent="0.25">
      <c r="B43" s="339" t="s">
        <v>271</v>
      </c>
      <c r="C43" s="338" t="s">
        <v>519</v>
      </c>
      <c r="D43" s="394" t="s">
        <v>213</v>
      </c>
      <c r="E43" s="35" t="s">
        <v>518</v>
      </c>
      <c r="F43" s="30">
        <f t="shared" si="0"/>
        <v>194</v>
      </c>
      <c r="G43" s="27">
        <v>194</v>
      </c>
      <c r="H43" s="27">
        <v>0</v>
      </c>
      <c r="I43" s="27">
        <v>0</v>
      </c>
      <c r="J43" s="27">
        <v>0</v>
      </c>
      <c r="K43" s="30">
        <f t="shared" si="1"/>
        <v>194</v>
      </c>
      <c r="L43" s="27">
        <v>194</v>
      </c>
      <c r="M43" s="27">
        <v>0</v>
      </c>
      <c r="N43" s="27">
        <v>0</v>
      </c>
      <c r="O43" s="27">
        <v>0</v>
      </c>
      <c r="P43" s="30">
        <f t="shared" si="2"/>
        <v>180</v>
      </c>
      <c r="Q43" s="27">
        <v>180</v>
      </c>
      <c r="R43" s="27">
        <v>0</v>
      </c>
      <c r="S43" s="27">
        <v>0</v>
      </c>
      <c r="T43" s="27">
        <v>0</v>
      </c>
      <c r="U43" s="30">
        <f t="shared" si="4"/>
        <v>-14</v>
      </c>
      <c r="V43" s="27">
        <v>-14</v>
      </c>
      <c r="W43" s="27">
        <v>0</v>
      </c>
      <c r="X43" s="27">
        <v>0</v>
      </c>
      <c r="Y43" s="31">
        <v>0</v>
      </c>
      <c r="Z43" s="559">
        <f t="shared" si="5"/>
        <v>92.783505154639172</v>
      </c>
      <c r="AA43" s="561">
        <f t="shared" si="6"/>
        <v>92.783505154639172</v>
      </c>
      <c r="AB43" s="563" t="str">
        <f t="shared" si="7"/>
        <v xml:space="preserve"> </v>
      </c>
      <c r="AC43" s="561" t="str">
        <f t="shared" si="8"/>
        <v xml:space="preserve"> </v>
      </c>
      <c r="AD43" s="562" t="str">
        <f t="shared" si="9"/>
        <v xml:space="preserve"> </v>
      </c>
    </row>
    <row r="44" spans="2:30" ht="15.75" thickBot="1" x14ac:dyDescent="0.25">
      <c r="B44" s="336" t="s">
        <v>271</v>
      </c>
      <c r="C44" s="335"/>
      <c r="D44" s="393" t="s">
        <v>213</v>
      </c>
      <c r="E44" s="333" t="s">
        <v>518</v>
      </c>
      <c r="F44" s="34">
        <f t="shared" si="0"/>
        <v>3268</v>
      </c>
      <c r="G44" s="331">
        <f>SUM(G41:G43)</f>
        <v>3078</v>
      </c>
      <c r="H44" s="331">
        <f>SUM(H41:H43)</f>
        <v>65</v>
      </c>
      <c r="I44" s="331">
        <f>SUM(I41:I43)</f>
        <v>0</v>
      </c>
      <c r="J44" s="331">
        <f>SUM(J41:J43)</f>
        <v>125</v>
      </c>
      <c r="K44" s="34">
        <f t="shared" si="1"/>
        <v>3268</v>
      </c>
      <c r="L44" s="331">
        <f>SUM(L41:L43)</f>
        <v>3078</v>
      </c>
      <c r="M44" s="331">
        <f>SUM(M41:M43)</f>
        <v>65</v>
      </c>
      <c r="N44" s="331">
        <f>SUM(N41:N43)</f>
        <v>0</v>
      </c>
      <c r="O44" s="331">
        <f>SUM(O41:O43)</f>
        <v>125</v>
      </c>
      <c r="P44" s="34">
        <f t="shared" si="2"/>
        <v>3133</v>
      </c>
      <c r="Q44" s="331">
        <f>SUM(Q41:Q43)</f>
        <v>2924</v>
      </c>
      <c r="R44" s="331">
        <f>SUM(R41:R43)</f>
        <v>60</v>
      </c>
      <c r="S44" s="331">
        <f>SUM(S41:S43)</f>
        <v>0</v>
      </c>
      <c r="T44" s="331">
        <f>SUM(T41:T43)</f>
        <v>149</v>
      </c>
      <c r="U44" s="34">
        <f t="shared" si="4"/>
        <v>-135</v>
      </c>
      <c r="V44" s="331">
        <f>SUM(V41:V43)</f>
        <v>-154</v>
      </c>
      <c r="W44" s="331">
        <f>SUM(W41:W43)</f>
        <v>-5</v>
      </c>
      <c r="X44" s="331">
        <f>SUM(X41:X43)</f>
        <v>0</v>
      </c>
      <c r="Y44" s="330">
        <f>SUM(Y41:Y43)</f>
        <v>24</v>
      </c>
      <c r="Z44" s="559">
        <f t="shared" si="5"/>
        <v>95.869033047735613</v>
      </c>
      <c r="AA44" s="561">
        <f t="shared" si="6"/>
        <v>94.996751137102009</v>
      </c>
      <c r="AB44" s="563">
        <f t="shared" si="7"/>
        <v>92.307692307692307</v>
      </c>
      <c r="AC44" s="561" t="str">
        <f t="shared" si="8"/>
        <v xml:space="preserve"> </v>
      </c>
      <c r="AD44" s="562">
        <f t="shared" si="9"/>
        <v>119.19999999999999</v>
      </c>
    </row>
    <row r="45" spans="2:30" ht="15" thickBot="1" x14ac:dyDescent="0.25">
      <c r="B45" s="339" t="s">
        <v>270</v>
      </c>
      <c r="C45" s="338" t="s">
        <v>516</v>
      </c>
      <c r="D45" s="394" t="s">
        <v>213</v>
      </c>
      <c r="E45" s="35" t="s">
        <v>269</v>
      </c>
      <c r="F45" s="30">
        <f t="shared" si="0"/>
        <v>1179</v>
      </c>
      <c r="G45" s="27">
        <v>918</v>
      </c>
      <c r="H45" s="27">
        <v>0</v>
      </c>
      <c r="I45" s="27">
        <v>0</v>
      </c>
      <c r="J45" s="27">
        <v>261</v>
      </c>
      <c r="K45" s="30">
        <f t="shared" si="1"/>
        <v>1179</v>
      </c>
      <c r="L45" s="27">
        <v>918</v>
      </c>
      <c r="M45" s="27">
        <v>0</v>
      </c>
      <c r="N45" s="27">
        <v>0</v>
      </c>
      <c r="O45" s="27">
        <v>261</v>
      </c>
      <c r="P45" s="30">
        <f t="shared" si="2"/>
        <v>1108</v>
      </c>
      <c r="Q45" s="27">
        <v>872</v>
      </c>
      <c r="R45" s="27">
        <v>0</v>
      </c>
      <c r="S45" s="27">
        <v>0</v>
      </c>
      <c r="T45" s="27">
        <v>236</v>
      </c>
      <c r="U45" s="30">
        <f t="shared" si="4"/>
        <v>-71</v>
      </c>
      <c r="V45" s="27">
        <v>-46</v>
      </c>
      <c r="W45" s="27">
        <v>0</v>
      </c>
      <c r="X45" s="27">
        <v>0</v>
      </c>
      <c r="Y45" s="31">
        <v>-25</v>
      </c>
      <c r="Z45" s="559">
        <f t="shared" si="5"/>
        <v>93.977947413061912</v>
      </c>
      <c r="AA45" s="561">
        <f t="shared" si="6"/>
        <v>94.989106753812635</v>
      </c>
      <c r="AB45" s="563" t="str">
        <f t="shared" si="7"/>
        <v xml:space="preserve"> </v>
      </c>
      <c r="AC45" s="561" t="str">
        <f t="shared" si="8"/>
        <v xml:space="preserve"> </v>
      </c>
      <c r="AD45" s="562">
        <f t="shared" si="9"/>
        <v>90.421455938697321</v>
      </c>
    </row>
    <row r="46" spans="2:30" ht="15.75" thickBot="1" x14ac:dyDescent="0.25">
      <c r="B46" s="336" t="s">
        <v>270</v>
      </c>
      <c r="C46" s="335"/>
      <c r="D46" s="393" t="s">
        <v>213</v>
      </c>
      <c r="E46" s="333" t="s">
        <v>269</v>
      </c>
      <c r="F46" s="34">
        <f t="shared" ref="F46:F77" si="10">SUM(G46:J46)</f>
        <v>1179</v>
      </c>
      <c r="G46" s="331">
        <f>G45</f>
        <v>918</v>
      </c>
      <c r="H46" s="331">
        <f>H45</f>
        <v>0</v>
      </c>
      <c r="I46" s="331">
        <f>I45</f>
        <v>0</v>
      </c>
      <c r="J46" s="331">
        <f>J45</f>
        <v>261</v>
      </c>
      <c r="K46" s="34">
        <f t="shared" ref="K46:K77" si="11">SUM(L46:O46)</f>
        <v>1179</v>
      </c>
      <c r="L46" s="331">
        <f>L45</f>
        <v>918</v>
      </c>
      <c r="M46" s="331">
        <f>M45</f>
        <v>0</v>
      </c>
      <c r="N46" s="331">
        <f>N45</f>
        <v>0</v>
      </c>
      <c r="O46" s="331">
        <f>O45</f>
        <v>261</v>
      </c>
      <c r="P46" s="34">
        <f t="shared" ref="P46:P77" si="12">SUM(Q46:T46)</f>
        <v>1108</v>
      </c>
      <c r="Q46" s="331">
        <f>Q45</f>
        <v>872</v>
      </c>
      <c r="R46" s="331">
        <f>R45</f>
        <v>0</v>
      </c>
      <c r="S46" s="331">
        <f>S45</f>
        <v>0</v>
      </c>
      <c r="T46" s="331">
        <f>T45</f>
        <v>236</v>
      </c>
      <c r="U46" s="34">
        <f t="shared" ref="U46:U77" si="13">SUM(V46:Y46)</f>
        <v>-71</v>
      </c>
      <c r="V46" s="331">
        <f>V45</f>
        <v>-46</v>
      </c>
      <c r="W46" s="331">
        <f>W45</f>
        <v>0</v>
      </c>
      <c r="X46" s="331">
        <f>X45</f>
        <v>0</v>
      </c>
      <c r="Y46" s="330">
        <f>Y45</f>
        <v>-25</v>
      </c>
      <c r="Z46" s="559">
        <f t="shared" si="5"/>
        <v>93.977947413061912</v>
      </c>
      <c r="AA46" s="561">
        <f t="shared" si="6"/>
        <v>94.989106753812635</v>
      </c>
      <c r="AB46" s="563" t="str">
        <f t="shared" si="7"/>
        <v xml:space="preserve"> </v>
      </c>
      <c r="AC46" s="561" t="str">
        <f t="shared" si="8"/>
        <v xml:space="preserve"> </v>
      </c>
      <c r="AD46" s="562">
        <f t="shared" si="9"/>
        <v>90.421455938697321</v>
      </c>
    </row>
    <row r="47" spans="2:30" ht="15" thickBot="1" x14ac:dyDescent="0.25">
      <c r="B47" s="339" t="s">
        <v>268</v>
      </c>
      <c r="C47" s="338" t="s">
        <v>516</v>
      </c>
      <c r="D47" s="394" t="s">
        <v>213</v>
      </c>
      <c r="E47" s="35" t="s">
        <v>444</v>
      </c>
      <c r="F47" s="30">
        <f t="shared" si="10"/>
        <v>1018</v>
      </c>
      <c r="G47" s="27">
        <v>963</v>
      </c>
      <c r="H47" s="27">
        <v>0</v>
      </c>
      <c r="I47" s="27">
        <v>0</v>
      </c>
      <c r="J47" s="27">
        <v>55</v>
      </c>
      <c r="K47" s="30">
        <f t="shared" si="11"/>
        <v>1138</v>
      </c>
      <c r="L47" s="27">
        <v>1083</v>
      </c>
      <c r="M47" s="27">
        <v>0</v>
      </c>
      <c r="N47" s="27">
        <v>0</v>
      </c>
      <c r="O47" s="27">
        <v>55</v>
      </c>
      <c r="P47" s="30">
        <f t="shared" si="12"/>
        <v>1040</v>
      </c>
      <c r="Q47" s="27">
        <v>995</v>
      </c>
      <c r="R47" s="27">
        <v>0</v>
      </c>
      <c r="S47" s="27">
        <v>0</v>
      </c>
      <c r="T47" s="27">
        <v>45</v>
      </c>
      <c r="U47" s="30">
        <f t="shared" si="13"/>
        <v>22</v>
      </c>
      <c r="V47" s="27">
        <f>Q47-G47</f>
        <v>32</v>
      </c>
      <c r="W47" s="27">
        <v>0</v>
      </c>
      <c r="X47" s="27">
        <v>0</v>
      </c>
      <c r="Y47" s="31">
        <v>-10</v>
      </c>
      <c r="Z47" s="559">
        <f t="shared" si="5"/>
        <v>102.16110019646365</v>
      </c>
      <c r="AA47" s="561">
        <f t="shared" si="6"/>
        <v>103.32294911734164</v>
      </c>
      <c r="AB47" s="563" t="str">
        <f t="shared" si="7"/>
        <v xml:space="preserve"> </v>
      </c>
      <c r="AC47" s="561" t="str">
        <f t="shared" si="8"/>
        <v xml:space="preserve"> </v>
      </c>
      <c r="AD47" s="562">
        <f t="shared" si="9"/>
        <v>81.818181818181827</v>
      </c>
    </row>
    <row r="48" spans="2:30" ht="15.75" thickBot="1" x14ac:dyDescent="0.25">
      <c r="B48" s="336" t="s">
        <v>268</v>
      </c>
      <c r="C48" s="335"/>
      <c r="D48" s="393" t="s">
        <v>213</v>
      </c>
      <c r="E48" s="333" t="s">
        <v>444</v>
      </c>
      <c r="F48" s="34">
        <f t="shared" si="10"/>
        <v>1018</v>
      </c>
      <c r="G48" s="331">
        <f>G47</f>
        <v>963</v>
      </c>
      <c r="H48" s="331">
        <f>H47</f>
        <v>0</v>
      </c>
      <c r="I48" s="331">
        <f>I47</f>
        <v>0</v>
      </c>
      <c r="J48" s="331">
        <f>J47</f>
        <v>55</v>
      </c>
      <c r="K48" s="34">
        <f t="shared" si="11"/>
        <v>1138</v>
      </c>
      <c r="L48" s="331">
        <f>L47</f>
        <v>1083</v>
      </c>
      <c r="M48" s="331">
        <f>M47</f>
        <v>0</v>
      </c>
      <c r="N48" s="331">
        <f>N47</f>
        <v>0</v>
      </c>
      <c r="O48" s="331">
        <f>O47</f>
        <v>55</v>
      </c>
      <c r="P48" s="34">
        <f t="shared" si="12"/>
        <v>1040</v>
      </c>
      <c r="Q48" s="331">
        <f>Q47</f>
        <v>995</v>
      </c>
      <c r="R48" s="331">
        <f>R47</f>
        <v>0</v>
      </c>
      <c r="S48" s="331">
        <f>S47</f>
        <v>0</v>
      </c>
      <c r="T48" s="331">
        <f>T47</f>
        <v>45</v>
      </c>
      <c r="U48" s="34">
        <f t="shared" si="13"/>
        <v>22</v>
      </c>
      <c r="V48" s="331">
        <f>V47</f>
        <v>32</v>
      </c>
      <c r="W48" s="331">
        <f>W47</f>
        <v>0</v>
      </c>
      <c r="X48" s="331">
        <f>X47</f>
        <v>0</v>
      </c>
      <c r="Y48" s="330">
        <f>Y47</f>
        <v>-10</v>
      </c>
      <c r="Z48" s="559">
        <f t="shared" si="5"/>
        <v>102.16110019646365</v>
      </c>
      <c r="AA48" s="561">
        <f t="shared" si="6"/>
        <v>103.32294911734164</v>
      </c>
      <c r="AB48" s="563" t="str">
        <f t="shared" si="7"/>
        <v xml:space="preserve"> </v>
      </c>
      <c r="AC48" s="561" t="str">
        <f t="shared" si="8"/>
        <v xml:space="preserve"> </v>
      </c>
      <c r="AD48" s="562">
        <f t="shared" si="9"/>
        <v>81.818181818181827</v>
      </c>
    </row>
    <row r="49" spans="2:30" ht="15" thickBot="1" x14ac:dyDescent="0.25">
      <c r="B49" s="339" t="s">
        <v>266</v>
      </c>
      <c r="C49" s="338" t="s">
        <v>516</v>
      </c>
      <c r="D49" s="394" t="s">
        <v>213</v>
      </c>
      <c r="E49" s="35" t="s">
        <v>267</v>
      </c>
      <c r="F49" s="30">
        <f t="shared" si="10"/>
        <v>680</v>
      </c>
      <c r="G49" s="27">
        <v>680</v>
      </c>
      <c r="H49" s="27">
        <v>0</v>
      </c>
      <c r="I49" s="27">
        <v>0</v>
      </c>
      <c r="J49" s="27">
        <v>0</v>
      </c>
      <c r="K49" s="30">
        <f t="shared" si="11"/>
        <v>680</v>
      </c>
      <c r="L49" s="27">
        <v>680</v>
      </c>
      <c r="M49" s="27">
        <v>0</v>
      </c>
      <c r="N49" s="27">
        <v>0</v>
      </c>
      <c r="O49" s="27">
        <v>0</v>
      </c>
      <c r="P49" s="30">
        <f t="shared" si="12"/>
        <v>586</v>
      </c>
      <c r="Q49" s="27">
        <v>586</v>
      </c>
      <c r="R49" s="27">
        <v>0</v>
      </c>
      <c r="S49" s="27">
        <v>0</v>
      </c>
      <c r="T49" s="27">
        <v>0</v>
      </c>
      <c r="U49" s="30">
        <f t="shared" si="13"/>
        <v>-94</v>
      </c>
      <c r="V49" s="27">
        <v>-94</v>
      </c>
      <c r="W49" s="27">
        <v>0</v>
      </c>
      <c r="X49" s="27">
        <v>0</v>
      </c>
      <c r="Y49" s="31">
        <v>0</v>
      </c>
      <c r="Z49" s="559">
        <f t="shared" si="5"/>
        <v>86.176470588235304</v>
      </c>
      <c r="AA49" s="561">
        <f t="shared" si="6"/>
        <v>86.176470588235304</v>
      </c>
      <c r="AB49" s="563" t="str">
        <f t="shared" si="7"/>
        <v xml:space="preserve"> </v>
      </c>
      <c r="AC49" s="561" t="str">
        <f t="shared" si="8"/>
        <v xml:space="preserve"> </v>
      </c>
      <c r="AD49" s="562" t="str">
        <f t="shared" si="9"/>
        <v xml:space="preserve"> </v>
      </c>
    </row>
    <row r="50" spans="2:30" ht="15" thickBot="1" x14ac:dyDescent="0.25">
      <c r="B50" s="339" t="s">
        <v>266</v>
      </c>
      <c r="C50" s="338" t="s">
        <v>517</v>
      </c>
      <c r="D50" s="394" t="s">
        <v>213</v>
      </c>
      <c r="E50" s="35" t="s">
        <v>267</v>
      </c>
      <c r="F50" s="30">
        <f t="shared" si="10"/>
        <v>40</v>
      </c>
      <c r="G50" s="27">
        <v>40</v>
      </c>
      <c r="H50" s="27">
        <v>0</v>
      </c>
      <c r="I50" s="27">
        <v>0</v>
      </c>
      <c r="J50" s="27">
        <v>0</v>
      </c>
      <c r="K50" s="30">
        <f t="shared" si="11"/>
        <v>40</v>
      </c>
      <c r="L50" s="27">
        <v>40</v>
      </c>
      <c r="M50" s="27">
        <v>0</v>
      </c>
      <c r="N50" s="27">
        <v>0</v>
      </c>
      <c r="O50" s="27">
        <v>0</v>
      </c>
      <c r="P50" s="30">
        <f t="shared" si="12"/>
        <v>28</v>
      </c>
      <c r="Q50" s="27">
        <v>28</v>
      </c>
      <c r="R50" s="27">
        <v>0</v>
      </c>
      <c r="S50" s="27">
        <v>0</v>
      </c>
      <c r="T50" s="27">
        <v>0</v>
      </c>
      <c r="U50" s="30">
        <f t="shared" si="13"/>
        <v>-12</v>
      </c>
      <c r="V50" s="27">
        <v>-12</v>
      </c>
      <c r="W50" s="27">
        <v>0</v>
      </c>
      <c r="X50" s="27">
        <v>0</v>
      </c>
      <c r="Y50" s="31">
        <v>0</v>
      </c>
      <c r="Z50" s="559">
        <f t="shared" si="5"/>
        <v>70</v>
      </c>
      <c r="AA50" s="561">
        <f t="shared" si="6"/>
        <v>70</v>
      </c>
      <c r="AB50" s="563" t="str">
        <f t="shared" si="7"/>
        <v xml:space="preserve"> </v>
      </c>
      <c r="AC50" s="561" t="str">
        <f t="shared" si="8"/>
        <v xml:space="preserve"> </v>
      </c>
      <c r="AD50" s="562" t="str">
        <f t="shared" si="9"/>
        <v xml:space="preserve"> </v>
      </c>
    </row>
    <row r="51" spans="2:30" ht="15" thickBot="1" x14ac:dyDescent="0.25">
      <c r="B51" s="339" t="s">
        <v>266</v>
      </c>
      <c r="C51" s="338" t="s">
        <v>500</v>
      </c>
      <c r="D51" s="394" t="s">
        <v>213</v>
      </c>
      <c r="E51" s="35" t="s">
        <v>267</v>
      </c>
      <c r="F51" s="30">
        <f t="shared" si="10"/>
        <v>1409</v>
      </c>
      <c r="G51" s="27">
        <v>1128</v>
      </c>
      <c r="H51" s="27">
        <v>0</v>
      </c>
      <c r="I51" s="27">
        <v>0</v>
      </c>
      <c r="J51" s="27">
        <v>281</v>
      </c>
      <c r="K51" s="30">
        <f t="shared" si="11"/>
        <v>1409</v>
      </c>
      <c r="L51" s="27">
        <v>1128</v>
      </c>
      <c r="M51" s="27">
        <v>0</v>
      </c>
      <c r="N51" s="27">
        <v>0</v>
      </c>
      <c r="O51" s="27">
        <v>281</v>
      </c>
      <c r="P51" s="30">
        <f t="shared" si="12"/>
        <v>1423</v>
      </c>
      <c r="Q51" s="27">
        <v>1142</v>
      </c>
      <c r="R51" s="27">
        <v>0</v>
      </c>
      <c r="S51" s="27">
        <v>0</v>
      </c>
      <c r="T51" s="27">
        <v>281</v>
      </c>
      <c r="U51" s="30">
        <f t="shared" si="13"/>
        <v>14</v>
      </c>
      <c r="V51" s="27">
        <v>14</v>
      </c>
      <c r="W51" s="27">
        <v>0</v>
      </c>
      <c r="X51" s="27">
        <v>0</v>
      </c>
      <c r="Y51" s="31">
        <v>0</v>
      </c>
      <c r="Z51" s="559">
        <f t="shared" si="5"/>
        <v>100.99361249112846</v>
      </c>
      <c r="AA51" s="561">
        <f t="shared" si="6"/>
        <v>101.24113475177306</v>
      </c>
      <c r="AB51" s="563" t="str">
        <f t="shared" si="7"/>
        <v xml:space="preserve"> </v>
      </c>
      <c r="AC51" s="561" t="str">
        <f t="shared" si="8"/>
        <v xml:space="preserve"> </v>
      </c>
      <c r="AD51" s="562">
        <f t="shared" si="9"/>
        <v>100</v>
      </c>
    </row>
    <row r="52" spans="2:30" ht="15.75" thickBot="1" x14ac:dyDescent="0.25">
      <c r="B52" s="336" t="s">
        <v>266</v>
      </c>
      <c r="C52" s="335"/>
      <c r="D52" s="393" t="s">
        <v>213</v>
      </c>
      <c r="E52" s="333" t="s">
        <v>267</v>
      </c>
      <c r="F52" s="34">
        <f t="shared" si="10"/>
        <v>2129</v>
      </c>
      <c r="G52" s="331">
        <f>SUM(G49:G51)</f>
        <v>1848</v>
      </c>
      <c r="H52" s="331">
        <f>SUM(H49:H51)</f>
        <v>0</v>
      </c>
      <c r="I52" s="331">
        <f>SUM(I49:I51)</f>
        <v>0</v>
      </c>
      <c r="J52" s="331">
        <f>SUM(J49:J51)</f>
        <v>281</v>
      </c>
      <c r="K52" s="34">
        <f t="shared" si="11"/>
        <v>2129</v>
      </c>
      <c r="L52" s="331">
        <f>SUM(L49:L51)</f>
        <v>1848</v>
      </c>
      <c r="M52" s="331">
        <f>SUM(M49:M51)</f>
        <v>0</v>
      </c>
      <c r="N52" s="331">
        <f>SUM(N49:N51)</f>
        <v>0</v>
      </c>
      <c r="O52" s="331">
        <f>SUM(O49:O51)</f>
        <v>281</v>
      </c>
      <c r="P52" s="34">
        <f t="shared" si="12"/>
        <v>2037</v>
      </c>
      <c r="Q52" s="331">
        <f>SUM(Q49:Q51)</f>
        <v>1756</v>
      </c>
      <c r="R52" s="331">
        <f>SUM(R49:R51)</f>
        <v>0</v>
      </c>
      <c r="S52" s="331">
        <f>SUM(S49:S51)</f>
        <v>0</v>
      </c>
      <c r="T52" s="331">
        <f>SUM(T49:T51)</f>
        <v>281</v>
      </c>
      <c r="U52" s="34">
        <f t="shared" si="13"/>
        <v>-92</v>
      </c>
      <c r="V52" s="331">
        <f>SUM(V49:V51)</f>
        <v>-92</v>
      </c>
      <c r="W52" s="331">
        <f>SUM(W49:W51)</f>
        <v>0</v>
      </c>
      <c r="X52" s="331">
        <f>SUM(X49:X51)</f>
        <v>0</v>
      </c>
      <c r="Y52" s="330">
        <f>SUM(Y49:Y51)</f>
        <v>0</v>
      </c>
      <c r="Z52" s="559">
        <f t="shared" si="5"/>
        <v>95.678722404884923</v>
      </c>
      <c r="AA52" s="561">
        <f t="shared" si="6"/>
        <v>95.021645021645014</v>
      </c>
      <c r="AB52" s="563" t="str">
        <f t="shared" si="7"/>
        <v xml:space="preserve"> </v>
      </c>
      <c r="AC52" s="561" t="str">
        <f t="shared" si="8"/>
        <v xml:space="preserve"> </v>
      </c>
      <c r="AD52" s="562">
        <f t="shared" si="9"/>
        <v>100</v>
      </c>
    </row>
    <row r="53" spans="2:30" ht="15" thickBot="1" x14ac:dyDescent="0.25">
      <c r="B53" s="339" t="s">
        <v>265</v>
      </c>
      <c r="C53" s="338" t="s">
        <v>515</v>
      </c>
      <c r="D53" s="394" t="s">
        <v>213</v>
      </c>
      <c r="E53" s="35" t="s">
        <v>264</v>
      </c>
      <c r="F53" s="30">
        <f t="shared" si="10"/>
        <v>2865</v>
      </c>
      <c r="G53" s="27">
        <v>2816</v>
      </c>
      <c r="H53" s="27">
        <v>0</v>
      </c>
      <c r="I53" s="27">
        <v>0</v>
      </c>
      <c r="J53" s="27">
        <v>49</v>
      </c>
      <c r="K53" s="30">
        <f t="shared" si="11"/>
        <v>2865</v>
      </c>
      <c r="L53" s="27">
        <v>2816</v>
      </c>
      <c r="M53" s="27">
        <v>0</v>
      </c>
      <c r="N53" s="27">
        <v>0</v>
      </c>
      <c r="O53" s="27">
        <v>49</v>
      </c>
      <c r="P53" s="30">
        <f t="shared" si="12"/>
        <v>2691</v>
      </c>
      <c r="Q53" s="27">
        <v>2663</v>
      </c>
      <c r="R53" s="27">
        <v>0</v>
      </c>
      <c r="S53" s="27">
        <v>0</v>
      </c>
      <c r="T53" s="27">
        <v>28</v>
      </c>
      <c r="U53" s="30">
        <f t="shared" si="13"/>
        <v>-174</v>
      </c>
      <c r="V53" s="27">
        <v>-153</v>
      </c>
      <c r="W53" s="27">
        <v>0</v>
      </c>
      <c r="X53" s="27">
        <v>0</v>
      </c>
      <c r="Y53" s="31">
        <v>-21</v>
      </c>
      <c r="Z53" s="559">
        <f t="shared" si="5"/>
        <v>93.926701570680621</v>
      </c>
      <c r="AA53" s="561">
        <f t="shared" si="6"/>
        <v>94.56676136363636</v>
      </c>
      <c r="AB53" s="563" t="str">
        <f t="shared" si="7"/>
        <v xml:space="preserve"> </v>
      </c>
      <c r="AC53" s="561" t="str">
        <f t="shared" si="8"/>
        <v xml:space="preserve"> </v>
      </c>
      <c r="AD53" s="562">
        <f t="shared" si="9"/>
        <v>57.142857142857139</v>
      </c>
    </row>
    <row r="54" spans="2:30" ht="15" thickBot="1" x14ac:dyDescent="0.25">
      <c r="B54" s="339" t="s">
        <v>265</v>
      </c>
      <c r="C54" s="338" t="s">
        <v>498</v>
      </c>
      <c r="D54" s="394" t="s">
        <v>213</v>
      </c>
      <c r="E54" s="35" t="s">
        <v>264</v>
      </c>
      <c r="F54" s="30">
        <f t="shared" si="10"/>
        <v>450</v>
      </c>
      <c r="G54" s="27">
        <v>450</v>
      </c>
      <c r="H54" s="27">
        <v>0</v>
      </c>
      <c r="I54" s="27">
        <v>0</v>
      </c>
      <c r="J54" s="27">
        <v>0</v>
      </c>
      <c r="K54" s="30">
        <f t="shared" si="11"/>
        <v>450</v>
      </c>
      <c r="L54" s="27">
        <v>450</v>
      </c>
      <c r="M54" s="27">
        <v>0</v>
      </c>
      <c r="N54" s="27">
        <v>0</v>
      </c>
      <c r="O54" s="27">
        <v>0</v>
      </c>
      <c r="P54" s="30">
        <f t="shared" si="12"/>
        <v>440</v>
      </c>
      <c r="Q54" s="27">
        <v>440</v>
      </c>
      <c r="R54" s="27">
        <v>0</v>
      </c>
      <c r="S54" s="27">
        <v>0</v>
      </c>
      <c r="T54" s="27">
        <v>0</v>
      </c>
      <c r="U54" s="30">
        <f t="shared" si="13"/>
        <v>-10</v>
      </c>
      <c r="V54" s="27">
        <v>-10</v>
      </c>
      <c r="W54" s="27">
        <v>0</v>
      </c>
      <c r="X54" s="27">
        <v>0</v>
      </c>
      <c r="Y54" s="31">
        <v>0</v>
      </c>
      <c r="Z54" s="559">
        <f t="shared" si="5"/>
        <v>97.777777777777771</v>
      </c>
      <c r="AA54" s="561">
        <f t="shared" si="6"/>
        <v>97.777777777777771</v>
      </c>
      <c r="AB54" s="563" t="str">
        <f t="shared" si="7"/>
        <v xml:space="preserve"> </v>
      </c>
      <c r="AC54" s="561" t="str">
        <f t="shared" si="8"/>
        <v xml:space="preserve"> </v>
      </c>
      <c r="AD54" s="562" t="str">
        <f t="shared" si="9"/>
        <v xml:space="preserve"> </v>
      </c>
    </row>
    <row r="55" spans="2:30" ht="26.25" thickBot="1" x14ac:dyDescent="0.25">
      <c r="B55" s="336" t="s">
        <v>265</v>
      </c>
      <c r="C55" s="335"/>
      <c r="D55" s="393" t="s">
        <v>213</v>
      </c>
      <c r="E55" s="333" t="s">
        <v>264</v>
      </c>
      <c r="F55" s="34">
        <f t="shared" si="10"/>
        <v>3315</v>
      </c>
      <c r="G55" s="331">
        <f>SUM(G53:G54)</f>
        <v>3266</v>
      </c>
      <c r="H55" s="331">
        <f>SUM(H53:H54)</f>
        <v>0</v>
      </c>
      <c r="I55" s="331">
        <f>SUM(I53:I54)</f>
        <v>0</v>
      </c>
      <c r="J55" s="331">
        <f>SUM(J53:J54)</f>
        <v>49</v>
      </c>
      <c r="K55" s="34">
        <f t="shared" si="11"/>
        <v>3315</v>
      </c>
      <c r="L55" s="331">
        <f>SUM(L53:L54)</f>
        <v>3266</v>
      </c>
      <c r="M55" s="331">
        <f>SUM(M53:M54)</f>
        <v>0</v>
      </c>
      <c r="N55" s="331">
        <f>SUM(N53:N54)</f>
        <v>0</v>
      </c>
      <c r="O55" s="331">
        <f>SUM(O53:O54)</f>
        <v>49</v>
      </c>
      <c r="P55" s="34">
        <f t="shared" si="12"/>
        <v>3131</v>
      </c>
      <c r="Q55" s="331">
        <f>SUM(Q53:Q54)</f>
        <v>3103</v>
      </c>
      <c r="R55" s="331">
        <f>SUM(R53:R54)</f>
        <v>0</v>
      </c>
      <c r="S55" s="331">
        <f>SUM(S53:S54)</f>
        <v>0</v>
      </c>
      <c r="T55" s="331">
        <f>SUM(T53:T54)</f>
        <v>28</v>
      </c>
      <c r="U55" s="34">
        <f t="shared" si="13"/>
        <v>-184</v>
      </c>
      <c r="V55" s="331">
        <f>SUM(V53:V54)</f>
        <v>-163</v>
      </c>
      <c r="W55" s="331">
        <f>SUM(W53:W54)</f>
        <v>0</v>
      </c>
      <c r="X55" s="331">
        <f>SUM(X53:X54)</f>
        <v>0</v>
      </c>
      <c r="Y55" s="330">
        <f>SUM(Y53:Y54)</f>
        <v>-21</v>
      </c>
      <c r="Z55" s="559">
        <f t="shared" si="5"/>
        <v>94.449472096530911</v>
      </c>
      <c r="AA55" s="561">
        <f t="shared" si="6"/>
        <v>95.009185548071045</v>
      </c>
      <c r="AB55" s="563" t="str">
        <f t="shared" si="7"/>
        <v xml:space="preserve"> </v>
      </c>
      <c r="AC55" s="561" t="str">
        <f t="shared" si="8"/>
        <v xml:space="preserve"> </v>
      </c>
      <c r="AD55" s="562">
        <f t="shared" si="9"/>
        <v>57.142857142857139</v>
      </c>
    </row>
    <row r="56" spans="2:30" ht="15" thickBot="1" x14ac:dyDescent="0.25">
      <c r="B56" s="339" t="s">
        <v>263</v>
      </c>
      <c r="C56" s="338" t="s">
        <v>515</v>
      </c>
      <c r="D56" s="394" t="s">
        <v>213</v>
      </c>
      <c r="E56" s="35" t="s">
        <v>262</v>
      </c>
      <c r="F56" s="30">
        <f t="shared" si="10"/>
        <v>4491</v>
      </c>
      <c r="G56" s="27">
        <v>3129</v>
      </c>
      <c r="H56" s="27">
        <v>0</v>
      </c>
      <c r="I56" s="27">
        <v>0</v>
      </c>
      <c r="J56" s="27">
        <v>1362</v>
      </c>
      <c r="K56" s="30">
        <f t="shared" si="11"/>
        <v>4607</v>
      </c>
      <c r="L56" s="27">
        <v>3245</v>
      </c>
      <c r="M56" s="27">
        <v>0</v>
      </c>
      <c r="N56" s="27">
        <v>0</v>
      </c>
      <c r="O56" s="27">
        <v>1362</v>
      </c>
      <c r="P56" s="30">
        <f t="shared" si="12"/>
        <v>4337</v>
      </c>
      <c r="Q56" s="27">
        <v>2973</v>
      </c>
      <c r="R56" s="27">
        <v>0</v>
      </c>
      <c r="S56" s="27">
        <v>0</v>
      </c>
      <c r="T56" s="27">
        <v>1364</v>
      </c>
      <c r="U56" s="30">
        <f t="shared" si="13"/>
        <v>-154</v>
      </c>
      <c r="V56" s="27">
        <v>-156</v>
      </c>
      <c r="W56" s="27">
        <v>0</v>
      </c>
      <c r="X56" s="27">
        <v>0</v>
      </c>
      <c r="Y56" s="31">
        <v>2</v>
      </c>
      <c r="Z56" s="559">
        <f t="shared" si="5"/>
        <v>96.570919617011796</v>
      </c>
      <c r="AA56" s="561">
        <f t="shared" si="6"/>
        <v>95.014381591562795</v>
      </c>
      <c r="AB56" s="563" t="str">
        <f t="shared" si="7"/>
        <v xml:space="preserve"> </v>
      </c>
      <c r="AC56" s="561" t="str">
        <f t="shared" si="8"/>
        <v xml:space="preserve"> </v>
      </c>
      <c r="AD56" s="562">
        <f t="shared" si="9"/>
        <v>100.14684287812041</v>
      </c>
    </row>
    <row r="57" spans="2:30" ht="15" thickBot="1" x14ac:dyDescent="0.25">
      <c r="B57" s="339" t="s">
        <v>263</v>
      </c>
      <c r="C57" s="338" t="s">
        <v>498</v>
      </c>
      <c r="D57" s="394" t="s">
        <v>213</v>
      </c>
      <c r="E57" s="35" t="s">
        <v>262</v>
      </c>
      <c r="F57" s="30">
        <f t="shared" si="10"/>
        <v>514</v>
      </c>
      <c r="G57" s="27">
        <v>490</v>
      </c>
      <c r="H57" s="27">
        <v>0</v>
      </c>
      <c r="I57" s="27">
        <v>0</v>
      </c>
      <c r="J57" s="27">
        <v>24</v>
      </c>
      <c r="K57" s="30">
        <f t="shared" si="11"/>
        <v>514</v>
      </c>
      <c r="L57" s="27">
        <v>490</v>
      </c>
      <c r="M57" s="27">
        <v>0</v>
      </c>
      <c r="N57" s="27">
        <v>0</v>
      </c>
      <c r="O57" s="27">
        <v>24</v>
      </c>
      <c r="P57" s="30">
        <f t="shared" si="12"/>
        <v>488</v>
      </c>
      <c r="Q57" s="27">
        <v>465</v>
      </c>
      <c r="R57" s="27">
        <v>0</v>
      </c>
      <c r="S57" s="27">
        <v>0</v>
      </c>
      <c r="T57" s="27">
        <v>23</v>
      </c>
      <c r="U57" s="30">
        <f t="shared" si="13"/>
        <v>-26</v>
      </c>
      <c r="V57" s="27">
        <v>-25</v>
      </c>
      <c r="W57" s="27">
        <v>0</v>
      </c>
      <c r="X57" s="27">
        <v>0</v>
      </c>
      <c r="Y57" s="31">
        <v>-1</v>
      </c>
      <c r="Z57" s="559">
        <f t="shared" si="5"/>
        <v>94.941634241245126</v>
      </c>
      <c r="AA57" s="561">
        <f t="shared" si="6"/>
        <v>94.897959183673478</v>
      </c>
      <c r="AB57" s="563" t="str">
        <f t="shared" si="7"/>
        <v xml:space="preserve"> </v>
      </c>
      <c r="AC57" s="561" t="str">
        <f t="shared" si="8"/>
        <v xml:space="preserve"> </v>
      </c>
      <c r="AD57" s="562">
        <f t="shared" si="9"/>
        <v>95.833333333333343</v>
      </c>
    </row>
    <row r="58" spans="2:30" ht="15.75" thickBot="1" x14ac:dyDescent="0.25">
      <c r="B58" s="336" t="s">
        <v>263</v>
      </c>
      <c r="C58" s="335"/>
      <c r="D58" s="393" t="s">
        <v>213</v>
      </c>
      <c r="E58" s="333" t="s">
        <v>262</v>
      </c>
      <c r="F58" s="34">
        <f t="shared" si="10"/>
        <v>5005</v>
      </c>
      <c r="G58" s="331">
        <f>SUM(G56:G57)</f>
        <v>3619</v>
      </c>
      <c r="H58" s="331">
        <f>SUM(H56:H57)</f>
        <v>0</v>
      </c>
      <c r="I58" s="331">
        <f>SUM(I56:I57)</f>
        <v>0</v>
      </c>
      <c r="J58" s="331">
        <f>SUM(J56:J57)</f>
        <v>1386</v>
      </c>
      <c r="K58" s="34">
        <f t="shared" si="11"/>
        <v>5121</v>
      </c>
      <c r="L58" s="331">
        <f>SUM(L56:L57)</f>
        <v>3735</v>
      </c>
      <c r="M58" s="331">
        <f>SUM(M56:M57)</f>
        <v>0</v>
      </c>
      <c r="N58" s="331">
        <f>SUM(N56:N57)</f>
        <v>0</v>
      </c>
      <c r="O58" s="331">
        <f>SUM(O56:O57)</f>
        <v>1386</v>
      </c>
      <c r="P58" s="34">
        <f t="shared" si="12"/>
        <v>4825</v>
      </c>
      <c r="Q58" s="331">
        <f>SUM(Q56:Q57)</f>
        <v>3438</v>
      </c>
      <c r="R58" s="331">
        <f>SUM(R56:R57)</f>
        <v>0</v>
      </c>
      <c r="S58" s="331">
        <f>SUM(S56:S57)</f>
        <v>0</v>
      </c>
      <c r="T58" s="331">
        <f>SUM(T56:T57)</f>
        <v>1387</v>
      </c>
      <c r="U58" s="34">
        <f t="shared" si="13"/>
        <v>-180</v>
      </c>
      <c r="V58" s="331">
        <f>SUM(V56:V57)</f>
        <v>-181</v>
      </c>
      <c r="W58" s="331">
        <f>SUM(W56:W57)</f>
        <v>0</v>
      </c>
      <c r="X58" s="331">
        <f>SUM(X56:X57)</f>
        <v>0</v>
      </c>
      <c r="Y58" s="330">
        <f>SUM(Y56:Y57)</f>
        <v>1</v>
      </c>
      <c r="Z58" s="559">
        <f t="shared" si="5"/>
        <v>96.40359640359641</v>
      </c>
      <c r="AA58" s="561">
        <f t="shared" si="6"/>
        <v>94.998618402873731</v>
      </c>
      <c r="AB58" s="563" t="str">
        <f t="shared" si="7"/>
        <v xml:space="preserve"> </v>
      </c>
      <c r="AC58" s="561" t="str">
        <f t="shared" si="8"/>
        <v xml:space="preserve"> </v>
      </c>
      <c r="AD58" s="562">
        <f t="shared" si="9"/>
        <v>100.07215007215007</v>
      </c>
    </row>
    <row r="59" spans="2:30" ht="26.25" thickBot="1" x14ac:dyDescent="0.25">
      <c r="B59" s="339" t="s">
        <v>261</v>
      </c>
      <c r="C59" s="338" t="s">
        <v>515</v>
      </c>
      <c r="D59" s="394" t="s">
        <v>213</v>
      </c>
      <c r="E59" s="35" t="s">
        <v>260</v>
      </c>
      <c r="F59" s="30">
        <f t="shared" si="10"/>
        <v>7066</v>
      </c>
      <c r="G59" s="27">
        <v>4445</v>
      </c>
      <c r="H59" s="27">
        <v>0</v>
      </c>
      <c r="I59" s="27">
        <v>0</v>
      </c>
      <c r="J59" s="27">
        <v>2621</v>
      </c>
      <c r="K59" s="30">
        <f t="shared" si="11"/>
        <v>7066</v>
      </c>
      <c r="L59" s="27">
        <v>4445</v>
      </c>
      <c r="M59" s="27">
        <v>0</v>
      </c>
      <c r="N59" s="27">
        <v>0</v>
      </c>
      <c r="O59" s="27">
        <v>2621</v>
      </c>
      <c r="P59" s="30">
        <f t="shared" si="12"/>
        <v>10521</v>
      </c>
      <c r="Q59" s="27">
        <f>5095+800</f>
        <v>5895</v>
      </c>
      <c r="R59" s="27">
        <v>0</v>
      </c>
      <c r="S59" s="27">
        <v>0</v>
      </c>
      <c r="T59" s="27">
        <v>4626</v>
      </c>
      <c r="U59" s="30">
        <f t="shared" si="13"/>
        <v>3455</v>
      </c>
      <c r="V59" s="27">
        <f>Q59-G59</f>
        <v>1450</v>
      </c>
      <c r="W59" s="27">
        <v>0</v>
      </c>
      <c r="X59" s="27">
        <v>0</v>
      </c>
      <c r="Y59" s="31">
        <f>T59-J59</f>
        <v>2005</v>
      </c>
      <c r="Z59" s="559">
        <f t="shared" si="5"/>
        <v>148.89612227568639</v>
      </c>
      <c r="AA59" s="561">
        <f t="shared" si="6"/>
        <v>132.62092238470191</v>
      </c>
      <c r="AB59" s="563" t="str">
        <f t="shared" si="7"/>
        <v xml:space="preserve"> </v>
      </c>
      <c r="AC59" s="561" t="str">
        <f t="shared" si="8"/>
        <v xml:space="preserve"> </v>
      </c>
      <c r="AD59" s="562">
        <f t="shared" si="9"/>
        <v>176.49752003052271</v>
      </c>
    </row>
    <row r="60" spans="2:30" ht="26.25" thickBot="1" x14ac:dyDescent="0.25">
      <c r="B60" s="339" t="s">
        <v>261</v>
      </c>
      <c r="C60" s="338" t="s">
        <v>498</v>
      </c>
      <c r="D60" s="394" t="s">
        <v>213</v>
      </c>
      <c r="E60" s="35" t="s">
        <v>260</v>
      </c>
      <c r="F60" s="30">
        <f t="shared" si="10"/>
        <v>1100</v>
      </c>
      <c r="G60" s="27">
        <v>1100</v>
      </c>
      <c r="H60" s="27">
        <v>0</v>
      </c>
      <c r="I60" s="27">
        <v>0</v>
      </c>
      <c r="J60" s="27">
        <v>0</v>
      </c>
      <c r="K60" s="30">
        <f t="shared" si="11"/>
        <v>1100</v>
      </c>
      <c r="L60" s="27">
        <v>1100</v>
      </c>
      <c r="M60" s="27">
        <v>0</v>
      </c>
      <c r="N60" s="27">
        <v>0</v>
      </c>
      <c r="O60" s="27">
        <v>0</v>
      </c>
      <c r="P60" s="30">
        <f t="shared" si="12"/>
        <v>600</v>
      </c>
      <c r="Q60" s="27">
        <v>600</v>
      </c>
      <c r="R60" s="27">
        <v>0</v>
      </c>
      <c r="S60" s="27">
        <v>0</v>
      </c>
      <c r="T60" s="27">
        <v>0</v>
      </c>
      <c r="U60" s="30">
        <f t="shared" si="13"/>
        <v>-500</v>
      </c>
      <c r="V60" s="27">
        <v>-500</v>
      </c>
      <c r="W60" s="27">
        <v>0</v>
      </c>
      <c r="X60" s="27">
        <v>0</v>
      </c>
      <c r="Y60" s="31">
        <v>0</v>
      </c>
      <c r="Z60" s="559">
        <f t="shared" si="5"/>
        <v>54.54545454545454</v>
      </c>
      <c r="AA60" s="561">
        <f t="shared" si="6"/>
        <v>54.54545454545454</v>
      </c>
      <c r="AB60" s="563" t="str">
        <f t="shared" si="7"/>
        <v xml:space="preserve"> </v>
      </c>
      <c r="AC60" s="561" t="str">
        <f t="shared" si="8"/>
        <v xml:space="preserve"> </v>
      </c>
      <c r="AD60" s="562" t="str">
        <f t="shared" si="9"/>
        <v xml:space="preserve"> </v>
      </c>
    </row>
    <row r="61" spans="2:30" ht="26.25" thickBot="1" x14ac:dyDescent="0.25">
      <c r="B61" s="336" t="s">
        <v>261</v>
      </c>
      <c r="C61" s="335"/>
      <c r="D61" s="393" t="s">
        <v>213</v>
      </c>
      <c r="E61" s="333" t="s">
        <v>260</v>
      </c>
      <c r="F61" s="34">
        <f t="shared" si="10"/>
        <v>8166</v>
      </c>
      <c r="G61" s="331">
        <f>SUM(G59:G60)</f>
        <v>5545</v>
      </c>
      <c r="H61" s="331">
        <f>SUM(H59:H60)</f>
        <v>0</v>
      </c>
      <c r="I61" s="331">
        <f>SUM(I59:I60)</f>
        <v>0</v>
      </c>
      <c r="J61" s="331">
        <f>SUM(J59:J60)</f>
        <v>2621</v>
      </c>
      <c r="K61" s="34">
        <f t="shared" si="11"/>
        <v>8166</v>
      </c>
      <c r="L61" s="331">
        <f>SUM(L59:L60)</f>
        <v>5545</v>
      </c>
      <c r="M61" s="331">
        <f>SUM(M59:M60)</f>
        <v>0</v>
      </c>
      <c r="N61" s="331">
        <f>SUM(N59:N60)</f>
        <v>0</v>
      </c>
      <c r="O61" s="331">
        <f>SUM(O59:O60)</f>
        <v>2621</v>
      </c>
      <c r="P61" s="34">
        <f t="shared" si="12"/>
        <v>11121</v>
      </c>
      <c r="Q61" s="331">
        <f>SUM(Q59:Q60)</f>
        <v>6495</v>
      </c>
      <c r="R61" s="331">
        <f>SUM(R59:R60)</f>
        <v>0</v>
      </c>
      <c r="S61" s="331">
        <f>SUM(S59:S60)</f>
        <v>0</v>
      </c>
      <c r="T61" s="331">
        <f>SUM(T59:T60)</f>
        <v>4626</v>
      </c>
      <c r="U61" s="34">
        <f t="shared" si="13"/>
        <v>2955</v>
      </c>
      <c r="V61" s="331">
        <f>SUM(V59:V60)</f>
        <v>950</v>
      </c>
      <c r="W61" s="331">
        <f>SUM(W59:W60)</f>
        <v>0</v>
      </c>
      <c r="X61" s="331">
        <f>SUM(X59:X60)</f>
        <v>0</v>
      </c>
      <c r="Y61" s="330">
        <f>SUM(Y59:Y60)</f>
        <v>2005</v>
      </c>
      <c r="Z61" s="559">
        <f t="shared" si="5"/>
        <v>136.18662747979425</v>
      </c>
      <c r="AA61" s="561">
        <f t="shared" si="6"/>
        <v>117.13255184851216</v>
      </c>
      <c r="AB61" s="563" t="str">
        <f t="shared" si="7"/>
        <v xml:space="preserve"> </v>
      </c>
      <c r="AC61" s="561" t="str">
        <f t="shared" si="8"/>
        <v xml:space="preserve"> </v>
      </c>
      <c r="AD61" s="562">
        <f t="shared" si="9"/>
        <v>176.49752003052271</v>
      </c>
    </row>
    <row r="62" spans="2:30" ht="15" thickBot="1" x14ac:dyDescent="0.25">
      <c r="B62" s="339" t="s">
        <v>259</v>
      </c>
      <c r="C62" s="338" t="s">
        <v>515</v>
      </c>
      <c r="D62" s="394" t="s">
        <v>213</v>
      </c>
      <c r="E62" s="35" t="s">
        <v>258</v>
      </c>
      <c r="F62" s="30">
        <f t="shared" si="10"/>
        <v>7710</v>
      </c>
      <c r="G62" s="27">
        <v>5326</v>
      </c>
      <c r="H62" s="27">
        <v>0</v>
      </c>
      <c r="I62" s="27">
        <v>0</v>
      </c>
      <c r="J62" s="27">
        <v>2384</v>
      </c>
      <c r="K62" s="30">
        <f t="shared" si="11"/>
        <v>7710</v>
      </c>
      <c r="L62" s="27">
        <f>531655/100</f>
        <v>5316.55</v>
      </c>
      <c r="M62" s="27">
        <f>945/100</f>
        <v>9.4499999999999993</v>
      </c>
      <c r="N62" s="27">
        <v>0</v>
      </c>
      <c r="O62" s="27">
        <v>2384</v>
      </c>
      <c r="P62" s="30">
        <f t="shared" si="12"/>
        <v>7298</v>
      </c>
      <c r="Q62" s="27">
        <v>5060</v>
      </c>
      <c r="R62" s="27">
        <v>0</v>
      </c>
      <c r="S62" s="27">
        <v>0</v>
      </c>
      <c r="T62" s="27">
        <v>2238</v>
      </c>
      <c r="U62" s="30">
        <f t="shared" si="13"/>
        <v>-412</v>
      </c>
      <c r="V62" s="27">
        <v>-266</v>
      </c>
      <c r="W62" s="27">
        <v>0</v>
      </c>
      <c r="X62" s="27">
        <v>0</v>
      </c>
      <c r="Y62" s="31">
        <v>-146</v>
      </c>
      <c r="Z62" s="559">
        <f t="shared" si="5"/>
        <v>94.656290531776904</v>
      </c>
      <c r="AA62" s="561">
        <f t="shared" si="6"/>
        <v>95.0056327450244</v>
      </c>
      <c r="AB62" s="563" t="str">
        <f t="shared" si="7"/>
        <v xml:space="preserve"> </v>
      </c>
      <c r="AC62" s="561" t="str">
        <f t="shared" si="8"/>
        <v xml:space="preserve"> </v>
      </c>
      <c r="AD62" s="562">
        <f t="shared" si="9"/>
        <v>93.875838926174495</v>
      </c>
    </row>
    <row r="63" spans="2:30" ht="15.75" thickBot="1" x14ac:dyDescent="0.25">
      <c r="B63" s="336" t="s">
        <v>259</v>
      </c>
      <c r="C63" s="335"/>
      <c r="D63" s="393" t="s">
        <v>213</v>
      </c>
      <c r="E63" s="333" t="s">
        <v>258</v>
      </c>
      <c r="F63" s="34">
        <f t="shared" si="10"/>
        <v>7710</v>
      </c>
      <c r="G63" s="331">
        <f>G62</f>
        <v>5326</v>
      </c>
      <c r="H63" s="331">
        <f>H62</f>
        <v>0</v>
      </c>
      <c r="I63" s="331">
        <f>I62</f>
        <v>0</v>
      </c>
      <c r="J63" s="331">
        <f>J62</f>
        <v>2384</v>
      </c>
      <c r="K63" s="34">
        <f t="shared" si="11"/>
        <v>7710</v>
      </c>
      <c r="L63" s="331">
        <f>L62</f>
        <v>5316.55</v>
      </c>
      <c r="M63" s="331">
        <f>M62</f>
        <v>9.4499999999999993</v>
      </c>
      <c r="N63" s="331">
        <f>N62</f>
        <v>0</v>
      </c>
      <c r="O63" s="331">
        <f>O62</f>
        <v>2384</v>
      </c>
      <c r="P63" s="34">
        <f t="shared" si="12"/>
        <v>7298</v>
      </c>
      <c r="Q63" s="331">
        <f>Q62</f>
        <v>5060</v>
      </c>
      <c r="R63" s="331">
        <f>R62</f>
        <v>0</v>
      </c>
      <c r="S63" s="331">
        <f>S62</f>
        <v>0</v>
      </c>
      <c r="T63" s="331">
        <f>T62</f>
        <v>2238</v>
      </c>
      <c r="U63" s="34">
        <f t="shared" si="13"/>
        <v>-412</v>
      </c>
      <c r="V63" s="331">
        <f>V62</f>
        <v>-266</v>
      </c>
      <c r="W63" s="331">
        <f>W62</f>
        <v>0</v>
      </c>
      <c r="X63" s="331">
        <f>X62</f>
        <v>0</v>
      </c>
      <c r="Y63" s="330">
        <f>Y62</f>
        <v>-146</v>
      </c>
      <c r="Z63" s="559">
        <f t="shared" si="5"/>
        <v>94.656290531776904</v>
      </c>
      <c r="AA63" s="561">
        <f t="shared" si="6"/>
        <v>95.0056327450244</v>
      </c>
      <c r="AB63" s="563" t="str">
        <f t="shared" si="7"/>
        <v xml:space="preserve"> </v>
      </c>
      <c r="AC63" s="561" t="str">
        <f t="shared" si="8"/>
        <v xml:space="preserve"> </v>
      </c>
      <c r="AD63" s="562">
        <f t="shared" si="9"/>
        <v>93.875838926174495</v>
      </c>
    </row>
    <row r="64" spans="2:30" ht="15" thickBot="1" x14ac:dyDescent="0.25">
      <c r="B64" s="339" t="s">
        <v>257</v>
      </c>
      <c r="C64" s="338" t="s">
        <v>515</v>
      </c>
      <c r="D64" s="394" t="s">
        <v>213</v>
      </c>
      <c r="E64" s="35" t="s">
        <v>256</v>
      </c>
      <c r="F64" s="30">
        <f t="shared" si="10"/>
        <v>4481</v>
      </c>
      <c r="G64" s="27">
        <v>3009</v>
      </c>
      <c r="H64" s="27">
        <v>0</v>
      </c>
      <c r="I64" s="27">
        <v>0</v>
      </c>
      <c r="J64" s="27">
        <v>1472</v>
      </c>
      <c r="K64" s="30">
        <f t="shared" si="11"/>
        <v>4481</v>
      </c>
      <c r="L64" s="27">
        <v>3009</v>
      </c>
      <c r="M64" s="27">
        <v>0</v>
      </c>
      <c r="N64" s="27">
        <v>0</v>
      </c>
      <c r="O64" s="27">
        <v>1472</v>
      </c>
      <c r="P64" s="30">
        <f t="shared" si="12"/>
        <v>4324</v>
      </c>
      <c r="Q64" s="27">
        <v>2859</v>
      </c>
      <c r="R64" s="27">
        <v>0</v>
      </c>
      <c r="S64" s="27">
        <v>0</v>
      </c>
      <c r="T64" s="27">
        <v>1465</v>
      </c>
      <c r="U64" s="30">
        <f t="shared" si="13"/>
        <v>-157</v>
      </c>
      <c r="V64" s="27">
        <v>-150</v>
      </c>
      <c r="W64" s="27">
        <v>0</v>
      </c>
      <c r="X64" s="27">
        <v>0</v>
      </c>
      <c r="Y64" s="31">
        <v>-7</v>
      </c>
      <c r="Z64" s="559">
        <f t="shared" si="5"/>
        <v>96.496317786208436</v>
      </c>
      <c r="AA64" s="561">
        <f t="shared" si="6"/>
        <v>95.014955134596207</v>
      </c>
      <c r="AB64" s="563" t="str">
        <f t="shared" si="7"/>
        <v xml:space="preserve"> </v>
      </c>
      <c r="AC64" s="561" t="str">
        <f t="shared" si="8"/>
        <v xml:space="preserve"> </v>
      </c>
      <c r="AD64" s="562">
        <f t="shared" si="9"/>
        <v>99.52445652173914</v>
      </c>
    </row>
    <row r="65" spans="2:30" ht="15.75" thickBot="1" x14ac:dyDescent="0.25">
      <c r="B65" s="336" t="s">
        <v>257</v>
      </c>
      <c r="C65" s="335"/>
      <c r="D65" s="393" t="s">
        <v>213</v>
      </c>
      <c r="E65" s="333" t="s">
        <v>256</v>
      </c>
      <c r="F65" s="34">
        <f t="shared" si="10"/>
        <v>4481</v>
      </c>
      <c r="G65" s="331">
        <f>G64</f>
        <v>3009</v>
      </c>
      <c r="H65" s="331">
        <f>H64</f>
        <v>0</v>
      </c>
      <c r="I65" s="331">
        <f>I64</f>
        <v>0</v>
      </c>
      <c r="J65" s="331">
        <f>J64</f>
        <v>1472</v>
      </c>
      <c r="K65" s="34">
        <f t="shared" si="11"/>
        <v>4481</v>
      </c>
      <c r="L65" s="331">
        <f>L64</f>
        <v>3009</v>
      </c>
      <c r="M65" s="331">
        <f>M64</f>
        <v>0</v>
      </c>
      <c r="N65" s="331">
        <f>N64</f>
        <v>0</v>
      </c>
      <c r="O65" s="331">
        <f>O64</f>
        <v>1472</v>
      </c>
      <c r="P65" s="34">
        <f t="shared" si="12"/>
        <v>4324</v>
      </c>
      <c r="Q65" s="331">
        <f>Q64</f>
        <v>2859</v>
      </c>
      <c r="R65" s="331">
        <f>R64</f>
        <v>0</v>
      </c>
      <c r="S65" s="331">
        <f>S64</f>
        <v>0</v>
      </c>
      <c r="T65" s="331">
        <f>T64</f>
        <v>1465</v>
      </c>
      <c r="U65" s="34">
        <f t="shared" si="13"/>
        <v>-157</v>
      </c>
      <c r="V65" s="331">
        <f>V64</f>
        <v>-150</v>
      </c>
      <c r="W65" s="331">
        <f>W64</f>
        <v>0</v>
      </c>
      <c r="X65" s="331">
        <f>X64</f>
        <v>0</v>
      </c>
      <c r="Y65" s="330">
        <f>Y64</f>
        <v>-7</v>
      </c>
      <c r="Z65" s="559">
        <f t="shared" si="5"/>
        <v>96.496317786208436</v>
      </c>
      <c r="AA65" s="561">
        <f t="shared" si="6"/>
        <v>95.014955134596207</v>
      </c>
      <c r="AB65" s="563" t="str">
        <f t="shared" si="7"/>
        <v xml:space="preserve"> </v>
      </c>
      <c r="AC65" s="561" t="str">
        <f t="shared" si="8"/>
        <v xml:space="preserve"> </v>
      </c>
      <c r="AD65" s="562">
        <f t="shared" si="9"/>
        <v>99.52445652173914</v>
      </c>
    </row>
    <row r="66" spans="2:30" ht="15" thickBot="1" x14ac:dyDescent="0.25">
      <c r="B66" s="339" t="s">
        <v>255</v>
      </c>
      <c r="C66" s="338" t="s">
        <v>515</v>
      </c>
      <c r="D66" s="394" t="s">
        <v>213</v>
      </c>
      <c r="E66" s="35" t="s">
        <v>254</v>
      </c>
      <c r="F66" s="30">
        <f t="shared" si="10"/>
        <v>2508</v>
      </c>
      <c r="G66" s="27">
        <v>1707</v>
      </c>
      <c r="H66" s="27">
        <v>0</v>
      </c>
      <c r="I66" s="27">
        <v>0</v>
      </c>
      <c r="J66" s="27">
        <v>801</v>
      </c>
      <c r="K66" s="30">
        <f t="shared" si="11"/>
        <v>2508</v>
      </c>
      <c r="L66" s="27">
        <v>1707</v>
      </c>
      <c r="M66" s="27">
        <v>0</v>
      </c>
      <c r="N66" s="27">
        <v>0</v>
      </c>
      <c r="O66" s="27">
        <v>801</v>
      </c>
      <c r="P66" s="30">
        <f t="shared" si="12"/>
        <v>2395</v>
      </c>
      <c r="Q66" s="27">
        <v>1620</v>
      </c>
      <c r="R66" s="27">
        <v>0</v>
      </c>
      <c r="S66" s="27">
        <v>0</v>
      </c>
      <c r="T66" s="27">
        <v>775</v>
      </c>
      <c r="U66" s="30">
        <f t="shared" si="13"/>
        <v>-113</v>
      </c>
      <c r="V66" s="27">
        <v>-87</v>
      </c>
      <c r="W66" s="27">
        <v>0</v>
      </c>
      <c r="X66" s="27">
        <v>0</v>
      </c>
      <c r="Y66" s="31">
        <v>-26</v>
      </c>
      <c r="Z66" s="559">
        <f t="shared" si="5"/>
        <v>95.494417862838915</v>
      </c>
      <c r="AA66" s="561">
        <f t="shared" si="6"/>
        <v>94.903339191564157</v>
      </c>
      <c r="AB66" s="563" t="str">
        <f t="shared" si="7"/>
        <v xml:space="preserve"> </v>
      </c>
      <c r="AC66" s="561" t="str">
        <f t="shared" si="8"/>
        <v xml:space="preserve"> </v>
      </c>
      <c r="AD66" s="562">
        <f t="shared" si="9"/>
        <v>96.754057428214736</v>
      </c>
    </row>
    <row r="67" spans="2:30" ht="15.75" thickBot="1" x14ac:dyDescent="0.25">
      <c r="B67" s="336" t="s">
        <v>255</v>
      </c>
      <c r="C67" s="335"/>
      <c r="D67" s="393" t="s">
        <v>213</v>
      </c>
      <c r="E67" s="333" t="s">
        <v>254</v>
      </c>
      <c r="F67" s="34">
        <f t="shared" si="10"/>
        <v>2508</v>
      </c>
      <c r="G67" s="331">
        <f>G66</f>
        <v>1707</v>
      </c>
      <c r="H67" s="331">
        <f>H66</f>
        <v>0</v>
      </c>
      <c r="I67" s="331">
        <f>I66</f>
        <v>0</v>
      </c>
      <c r="J67" s="331">
        <f>J66</f>
        <v>801</v>
      </c>
      <c r="K67" s="34">
        <f t="shared" si="11"/>
        <v>2508</v>
      </c>
      <c r="L67" s="331">
        <f>L66</f>
        <v>1707</v>
      </c>
      <c r="M67" s="331">
        <f>M66</f>
        <v>0</v>
      </c>
      <c r="N67" s="331">
        <f>N66</f>
        <v>0</v>
      </c>
      <c r="O67" s="331">
        <f>O66</f>
        <v>801</v>
      </c>
      <c r="P67" s="34">
        <f t="shared" si="12"/>
        <v>2395</v>
      </c>
      <c r="Q67" s="331">
        <f>Q66</f>
        <v>1620</v>
      </c>
      <c r="R67" s="331">
        <f>R66</f>
        <v>0</v>
      </c>
      <c r="S67" s="331">
        <f>S66</f>
        <v>0</v>
      </c>
      <c r="T67" s="331">
        <f>T66</f>
        <v>775</v>
      </c>
      <c r="U67" s="34">
        <f t="shared" si="13"/>
        <v>-113</v>
      </c>
      <c r="V67" s="331">
        <f>V66</f>
        <v>-87</v>
      </c>
      <c r="W67" s="331">
        <f>W66</f>
        <v>0</v>
      </c>
      <c r="X67" s="331">
        <f>X66</f>
        <v>0</v>
      </c>
      <c r="Y67" s="330">
        <f>Y66</f>
        <v>-26</v>
      </c>
      <c r="Z67" s="559">
        <f t="shared" si="5"/>
        <v>95.494417862838915</v>
      </c>
      <c r="AA67" s="561">
        <f t="shared" si="6"/>
        <v>94.903339191564157</v>
      </c>
      <c r="AB67" s="563" t="str">
        <f t="shared" si="7"/>
        <v xml:space="preserve"> </v>
      </c>
      <c r="AC67" s="561" t="str">
        <f t="shared" si="8"/>
        <v xml:space="preserve"> </v>
      </c>
      <c r="AD67" s="562">
        <f t="shared" si="9"/>
        <v>96.754057428214736</v>
      </c>
    </row>
    <row r="68" spans="2:30" ht="26.25" thickBot="1" x14ac:dyDescent="0.25">
      <c r="B68" s="339" t="s">
        <v>253</v>
      </c>
      <c r="C68" s="338" t="s">
        <v>511</v>
      </c>
      <c r="D68" s="394" t="s">
        <v>213</v>
      </c>
      <c r="E68" s="35" t="s">
        <v>252</v>
      </c>
      <c r="F68" s="30">
        <f t="shared" si="10"/>
        <v>1996</v>
      </c>
      <c r="G68" s="27">
        <v>1751</v>
      </c>
      <c r="H68" s="27">
        <v>0</v>
      </c>
      <c r="I68" s="27">
        <v>0</v>
      </c>
      <c r="J68" s="27">
        <v>245</v>
      </c>
      <c r="K68" s="30">
        <f t="shared" si="11"/>
        <v>1996</v>
      </c>
      <c r="L68" s="27">
        <v>1751</v>
      </c>
      <c r="M68" s="27">
        <v>0</v>
      </c>
      <c r="N68" s="27">
        <v>0</v>
      </c>
      <c r="O68" s="27">
        <v>245</v>
      </c>
      <c r="P68" s="30">
        <f t="shared" si="12"/>
        <v>1902</v>
      </c>
      <c r="Q68" s="27">
        <v>1655</v>
      </c>
      <c r="R68" s="27">
        <v>0</v>
      </c>
      <c r="S68" s="27">
        <v>0</v>
      </c>
      <c r="T68" s="27">
        <v>247</v>
      </c>
      <c r="U68" s="30">
        <f t="shared" si="13"/>
        <v>-94</v>
      </c>
      <c r="V68" s="27">
        <v>-96</v>
      </c>
      <c r="W68" s="27">
        <v>0</v>
      </c>
      <c r="X68" s="27">
        <v>0</v>
      </c>
      <c r="Y68" s="31">
        <v>2</v>
      </c>
      <c r="Z68" s="559">
        <f t="shared" si="5"/>
        <v>95.290581162324656</v>
      </c>
      <c r="AA68" s="561">
        <f t="shared" si="6"/>
        <v>94.51741861793262</v>
      </c>
      <c r="AB68" s="563" t="str">
        <f t="shared" si="7"/>
        <v xml:space="preserve"> </v>
      </c>
      <c r="AC68" s="561" t="str">
        <f t="shared" si="8"/>
        <v xml:space="preserve"> </v>
      </c>
      <c r="AD68" s="562">
        <f t="shared" si="9"/>
        <v>100.81632653061226</v>
      </c>
    </row>
    <row r="69" spans="2:30" ht="26.25" thickBot="1" x14ac:dyDescent="0.25">
      <c r="B69" s="339" t="s">
        <v>253</v>
      </c>
      <c r="C69" s="338" t="s">
        <v>498</v>
      </c>
      <c r="D69" s="394" t="s">
        <v>213</v>
      </c>
      <c r="E69" s="35" t="s">
        <v>252</v>
      </c>
      <c r="F69" s="30">
        <f t="shared" si="10"/>
        <v>616</v>
      </c>
      <c r="G69" s="27">
        <v>616</v>
      </c>
      <c r="H69" s="27">
        <v>0</v>
      </c>
      <c r="I69" s="27">
        <v>0</v>
      </c>
      <c r="J69" s="27">
        <v>0</v>
      </c>
      <c r="K69" s="30">
        <f t="shared" si="11"/>
        <v>616</v>
      </c>
      <c r="L69" s="27">
        <v>616</v>
      </c>
      <c r="M69" s="27">
        <v>0</v>
      </c>
      <c r="N69" s="27">
        <v>0</v>
      </c>
      <c r="O69" s="27">
        <v>0</v>
      </c>
      <c r="P69" s="30">
        <f t="shared" si="12"/>
        <v>588</v>
      </c>
      <c r="Q69" s="27">
        <v>588</v>
      </c>
      <c r="R69" s="27">
        <v>0</v>
      </c>
      <c r="S69" s="27">
        <v>0</v>
      </c>
      <c r="T69" s="27">
        <v>0</v>
      </c>
      <c r="U69" s="30">
        <f t="shared" si="13"/>
        <v>-28</v>
      </c>
      <c r="V69" s="27">
        <v>-28</v>
      </c>
      <c r="W69" s="27">
        <v>0</v>
      </c>
      <c r="X69" s="27">
        <v>0</v>
      </c>
      <c r="Y69" s="31">
        <v>0</v>
      </c>
      <c r="Z69" s="559">
        <f t="shared" si="5"/>
        <v>95.454545454545453</v>
      </c>
      <c r="AA69" s="561">
        <f t="shared" si="6"/>
        <v>95.454545454545453</v>
      </c>
      <c r="AB69" s="563" t="str">
        <f t="shared" si="7"/>
        <v xml:space="preserve"> </v>
      </c>
      <c r="AC69" s="561" t="str">
        <f t="shared" si="8"/>
        <v xml:space="preserve"> </v>
      </c>
      <c r="AD69" s="562" t="str">
        <f t="shared" si="9"/>
        <v xml:space="preserve"> </v>
      </c>
    </row>
    <row r="70" spans="2:30" ht="26.25" thickBot="1" x14ac:dyDescent="0.25">
      <c r="B70" s="339" t="s">
        <v>253</v>
      </c>
      <c r="C70" s="338" t="s">
        <v>512</v>
      </c>
      <c r="D70" s="394" t="s">
        <v>213</v>
      </c>
      <c r="E70" s="35" t="s">
        <v>252</v>
      </c>
      <c r="F70" s="30">
        <f t="shared" si="10"/>
        <v>410</v>
      </c>
      <c r="G70" s="27">
        <v>410</v>
      </c>
      <c r="H70" s="27">
        <v>0</v>
      </c>
      <c r="I70" s="27">
        <v>0</v>
      </c>
      <c r="J70" s="27">
        <v>0</v>
      </c>
      <c r="K70" s="30">
        <f t="shared" si="11"/>
        <v>410</v>
      </c>
      <c r="L70" s="27">
        <v>410</v>
      </c>
      <c r="M70" s="27">
        <v>0</v>
      </c>
      <c r="N70" s="27">
        <v>0</v>
      </c>
      <c r="O70" s="27">
        <v>0</v>
      </c>
      <c r="P70" s="30">
        <f t="shared" si="12"/>
        <v>395</v>
      </c>
      <c r="Q70" s="27">
        <v>395</v>
      </c>
      <c r="R70" s="27">
        <v>0</v>
      </c>
      <c r="S70" s="27">
        <v>0</v>
      </c>
      <c r="T70" s="27">
        <v>0</v>
      </c>
      <c r="U70" s="30">
        <f t="shared" si="13"/>
        <v>-15</v>
      </c>
      <c r="V70" s="27">
        <v>-15</v>
      </c>
      <c r="W70" s="27">
        <v>0</v>
      </c>
      <c r="X70" s="27">
        <v>0</v>
      </c>
      <c r="Y70" s="31">
        <v>0</v>
      </c>
      <c r="Z70" s="559">
        <f t="shared" si="5"/>
        <v>96.341463414634148</v>
      </c>
      <c r="AA70" s="561">
        <f t="shared" si="6"/>
        <v>96.341463414634148</v>
      </c>
      <c r="AB70" s="563" t="str">
        <f t="shared" si="7"/>
        <v xml:space="preserve"> </v>
      </c>
      <c r="AC70" s="561" t="str">
        <f t="shared" si="8"/>
        <v xml:space="preserve"> </v>
      </c>
      <c r="AD70" s="562" t="str">
        <f t="shared" si="9"/>
        <v xml:space="preserve"> </v>
      </c>
    </row>
    <row r="71" spans="2:30" ht="26.25" thickBot="1" x14ac:dyDescent="0.25">
      <c r="B71" s="336" t="s">
        <v>253</v>
      </c>
      <c r="C71" s="335"/>
      <c r="D71" s="393" t="s">
        <v>213</v>
      </c>
      <c r="E71" s="333" t="s">
        <v>252</v>
      </c>
      <c r="F71" s="34">
        <f t="shared" si="10"/>
        <v>3022</v>
      </c>
      <c r="G71" s="331">
        <f>SUM(G68:G70)</f>
        <v>2777</v>
      </c>
      <c r="H71" s="331">
        <f>SUM(H68:H70)</f>
        <v>0</v>
      </c>
      <c r="I71" s="331">
        <f>SUM(I68:I70)</f>
        <v>0</v>
      </c>
      <c r="J71" s="331">
        <f>SUM(J68:J70)</f>
        <v>245</v>
      </c>
      <c r="K71" s="34">
        <f t="shared" si="11"/>
        <v>3022</v>
      </c>
      <c r="L71" s="331">
        <f>SUM(L68:L70)</f>
        <v>2777</v>
      </c>
      <c r="M71" s="331">
        <f>SUM(M68:M70)</f>
        <v>0</v>
      </c>
      <c r="N71" s="331">
        <f>SUM(N68:N70)</f>
        <v>0</v>
      </c>
      <c r="O71" s="331">
        <f>SUM(O68:O70)</f>
        <v>245</v>
      </c>
      <c r="P71" s="34">
        <f t="shared" si="12"/>
        <v>2885</v>
      </c>
      <c r="Q71" s="331">
        <f>SUM(Q68:Q70)</f>
        <v>2638</v>
      </c>
      <c r="R71" s="331">
        <f>SUM(R68:R70)</f>
        <v>0</v>
      </c>
      <c r="S71" s="331">
        <f>SUM(S68:S70)</f>
        <v>0</v>
      </c>
      <c r="T71" s="331">
        <f>SUM(T68:T70)</f>
        <v>247</v>
      </c>
      <c r="U71" s="34">
        <f t="shared" si="13"/>
        <v>-137</v>
      </c>
      <c r="V71" s="331">
        <f>SUM(V68:V70)</f>
        <v>-139</v>
      </c>
      <c r="W71" s="331">
        <f>SUM(W68:W70)</f>
        <v>0</v>
      </c>
      <c r="X71" s="331">
        <f>SUM(X68:X70)</f>
        <v>0</v>
      </c>
      <c r="Y71" s="330">
        <v>2</v>
      </c>
      <c r="Z71" s="559">
        <f t="shared" si="5"/>
        <v>95.46657842488419</v>
      </c>
      <c r="AA71" s="561">
        <f t="shared" si="6"/>
        <v>94.994598487576525</v>
      </c>
      <c r="AB71" s="563" t="str">
        <f t="shared" si="7"/>
        <v xml:space="preserve"> </v>
      </c>
      <c r="AC71" s="561" t="str">
        <f t="shared" si="8"/>
        <v xml:space="preserve"> </v>
      </c>
      <c r="AD71" s="562">
        <f t="shared" si="9"/>
        <v>100.81632653061226</v>
      </c>
    </row>
    <row r="72" spans="2:30" ht="15" thickBot="1" x14ac:dyDescent="0.25">
      <c r="B72" s="339" t="s">
        <v>251</v>
      </c>
      <c r="C72" s="338" t="s">
        <v>511</v>
      </c>
      <c r="D72" s="394" t="s">
        <v>213</v>
      </c>
      <c r="E72" s="35" t="s">
        <v>250</v>
      </c>
      <c r="F72" s="30">
        <f t="shared" si="10"/>
        <v>2668</v>
      </c>
      <c r="G72" s="27">
        <v>1613</v>
      </c>
      <c r="H72" s="27">
        <v>0</v>
      </c>
      <c r="I72" s="27">
        <v>0</v>
      </c>
      <c r="J72" s="27">
        <v>1055</v>
      </c>
      <c r="K72" s="30">
        <f t="shared" si="11"/>
        <v>2668</v>
      </c>
      <c r="L72" s="27">
        <v>1613</v>
      </c>
      <c r="M72" s="27">
        <v>0</v>
      </c>
      <c r="N72" s="27">
        <v>0</v>
      </c>
      <c r="O72" s="27">
        <v>1055</v>
      </c>
      <c r="P72" s="30">
        <f t="shared" si="12"/>
        <v>2636</v>
      </c>
      <c r="Q72" s="27">
        <v>1532</v>
      </c>
      <c r="R72" s="27">
        <v>0</v>
      </c>
      <c r="S72" s="27">
        <v>0</v>
      </c>
      <c r="T72" s="27">
        <v>1104</v>
      </c>
      <c r="U72" s="30">
        <f t="shared" si="13"/>
        <v>-32</v>
      </c>
      <c r="V72" s="27">
        <v>-81</v>
      </c>
      <c r="W72" s="27">
        <v>0</v>
      </c>
      <c r="X72" s="27">
        <v>0</v>
      </c>
      <c r="Y72" s="31">
        <v>49</v>
      </c>
      <c r="Z72" s="559">
        <f t="shared" si="5"/>
        <v>98.800599700149931</v>
      </c>
      <c r="AA72" s="561">
        <f t="shared" si="6"/>
        <v>94.978301301921888</v>
      </c>
      <c r="AB72" s="563" t="str">
        <f t="shared" si="7"/>
        <v xml:space="preserve"> </v>
      </c>
      <c r="AC72" s="561" t="str">
        <f t="shared" si="8"/>
        <v xml:space="preserve"> </v>
      </c>
      <c r="AD72" s="562">
        <f t="shared" si="9"/>
        <v>104.64454976303317</v>
      </c>
    </row>
    <row r="73" spans="2:30" ht="15.75" thickBot="1" x14ac:dyDescent="0.25">
      <c r="B73" s="336" t="s">
        <v>251</v>
      </c>
      <c r="C73" s="335"/>
      <c r="D73" s="393" t="s">
        <v>213</v>
      </c>
      <c r="E73" s="333" t="s">
        <v>250</v>
      </c>
      <c r="F73" s="34">
        <f t="shared" si="10"/>
        <v>2668</v>
      </c>
      <c r="G73" s="331">
        <f>G72</f>
        <v>1613</v>
      </c>
      <c r="H73" s="331">
        <f>H72</f>
        <v>0</v>
      </c>
      <c r="I73" s="331">
        <f>I72</f>
        <v>0</v>
      </c>
      <c r="J73" s="331">
        <f>J72</f>
        <v>1055</v>
      </c>
      <c r="K73" s="34">
        <f t="shared" si="11"/>
        <v>2668</v>
      </c>
      <c r="L73" s="331">
        <f>L72</f>
        <v>1613</v>
      </c>
      <c r="M73" s="331">
        <f>M72</f>
        <v>0</v>
      </c>
      <c r="N73" s="331">
        <f>N72</f>
        <v>0</v>
      </c>
      <c r="O73" s="331">
        <f>O72</f>
        <v>1055</v>
      </c>
      <c r="P73" s="34">
        <f t="shared" si="12"/>
        <v>2636</v>
      </c>
      <c r="Q73" s="331">
        <f>Q72</f>
        <v>1532</v>
      </c>
      <c r="R73" s="331">
        <f>R72</f>
        <v>0</v>
      </c>
      <c r="S73" s="331">
        <f>S72</f>
        <v>0</v>
      </c>
      <c r="T73" s="331">
        <f>T72</f>
        <v>1104</v>
      </c>
      <c r="U73" s="34">
        <f t="shared" si="13"/>
        <v>-32</v>
      </c>
      <c r="V73" s="331">
        <f>V72</f>
        <v>-81</v>
      </c>
      <c r="W73" s="331">
        <f>W72</f>
        <v>0</v>
      </c>
      <c r="X73" s="331">
        <f>X72</f>
        <v>0</v>
      </c>
      <c r="Y73" s="330">
        <f>Y72</f>
        <v>49</v>
      </c>
      <c r="Z73" s="559">
        <f t="shared" si="5"/>
        <v>98.800599700149931</v>
      </c>
      <c r="AA73" s="561">
        <f t="shared" si="6"/>
        <v>94.978301301921888</v>
      </c>
      <c r="AB73" s="563" t="str">
        <f t="shared" si="7"/>
        <v xml:space="preserve"> </v>
      </c>
      <c r="AC73" s="561" t="str">
        <f t="shared" si="8"/>
        <v xml:space="preserve"> </v>
      </c>
      <c r="AD73" s="562">
        <f t="shared" si="9"/>
        <v>104.64454976303317</v>
      </c>
    </row>
    <row r="74" spans="2:30" ht="15" thickBot="1" x14ac:dyDescent="0.25">
      <c r="B74" s="339" t="s">
        <v>249</v>
      </c>
      <c r="C74" s="338" t="s">
        <v>511</v>
      </c>
      <c r="D74" s="394" t="s">
        <v>213</v>
      </c>
      <c r="E74" s="35" t="s">
        <v>571</v>
      </c>
      <c r="F74" s="30">
        <f t="shared" si="10"/>
        <v>2338</v>
      </c>
      <c r="G74" s="27">
        <v>1389</v>
      </c>
      <c r="H74" s="27">
        <v>0</v>
      </c>
      <c r="I74" s="27">
        <v>0</v>
      </c>
      <c r="J74" s="27">
        <v>949</v>
      </c>
      <c r="K74" s="30">
        <f t="shared" si="11"/>
        <v>2338</v>
      </c>
      <c r="L74" s="27">
        <v>1389</v>
      </c>
      <c r="M74" s="27">
        <v>0</v>
      </c>
      <c r="N74" s="27">
        <v>0</v>
      </c>
      <c r="O74" s="27">
        <v>949</v>
      </c>
      <c r="P74" s="30">
        <f t="shared" si="12"/>
        <v>2149</v>
      </c>
      <c r="Q74" s="27">
        <v>1310</v>
      </c>
      <c r="R74" s="27">
        <v>0</v>
      </c>
      <c r="S74" s="27">
        <v>0</v>
      </c>
      <c r="T74" s="27">
        <v>839</v>
      </c>
      <c r="U74" s="30">
        <f t="shared" si="13"/>
        <v>-189</v>
      </c>
      <c r="V74" s="27">
        <v>-79</v>
      </c>
      <c r="W74" s="27">
        <v>0</v>
      </c>
      <c r="X74" s="27">
        <v>0</v>
      </c>
      <c r="Y74" s="31">
        <v>-110</v>
      </c>
      <c r="Z74" s="559">
        <f t="shared" si="5"/>
        <v>91.916167664670652</v>
      </c>
      <c r="AA74" s="561">
        <f t="shared" si="6"/>
        <v>94.312455003599709</v>
      </c>
      <c r="AB74" s="563" t="str">
        <f t="shared" si="7"/>
        <v xml:space="preserve"> </v>
      </c>
      <c r="AC74" s="561" t="str">
        <f t="shared" si="8"/>
        <v xml:space="preserve"> </v>
      </c>
      <c r="AD74" s="562">
        <f t="shared" si="9"/>
        <v>88.408851422550043</v>
      </c>
    </row>
    <row r="75" spans="2:30" ht="15" thickBot="1" x14ac:dyDescent="0.25">
      <c r="B75" s="339" t="s">
        <v>249</v>
      </c>
      <c r="C75" s="338" t="s">
        <v>506</v>
      </c>
      <c r="D75" s="394" t="s">
        <v>213</v>
      </c>
      <c r="E75" s="35" t="s">
        <v>571</v>
      </c>
      <c r="F75" s="30">
        <f t="shared" si="10"/>
        <v>4027</v>
      </c>
      <c r="G75" s="27">
        <v>3877</v>
      </c>
      <c r="H75" s="27">
        <v>0</v>
      </c>
      <c r="I75" s="27">
        <v>0</v>
      </c>
      <c r="J75" s="27">
        <v>150</v>
      </c>
      <c r="K75" s="30">
        <f t="shared" si="11"/>
        <v>4027</v>
      </c>
      <c r="L75" s="27">
        <v>3877</v>
      </c>
      <c r="M75" s="27">
        <v>0</v>
      </c>
      <c r="N75" s="27">
        <v>0</v>
      </c>
      <c r="O75" s="27">
        <v>150</v>
      </c>
      <c r="P75" s="30">
        <f t="shared" si="12"/>
        <v>3914</v>
      </c>
      <c r="Q75" s="27">
        <v>3670</v>
      </c>
      <c r="R75" s="27">
        <v>0</v>
      </c>
      <c r="S75" s="27">
        <v>0</v>
      </c>
      <c r="T75" s="27">
        <v>244</v>
      </c>
      <c r="U75" s="30">
        <f t="shared" si="13"/>
        <v>-113</v>
      </c>
      <c r="V75" s="27">
        <v>-207</v>
      </c>
      <c r="W75" s="27">
        <v>0</v>
      </c>
      <c r="X75" s="27">
        <v>0</v>
      </c>
      <c r="Y75" s="31">
        <v>94</v>
      </c>
      <c r="Z75" s="559">
        <f t="shared" si="5"/>
        <v>97.193940898932212</v>
      </c>
      <c r="AA75" s="561">
        <f t="shared" si="6"/>
        <v>94.660820221820998</v>
      </c>
      <c r="AB75" s="563" t="str">
        <f t="shared" si="7"/>
        <v xml:space="preserve"> </v>
      </c>
      <c r="AC75" s="561" t="str">
        <f t="shared" si="8"/>
        <v xml:space="preserve"> </v>
      </c>
      <c r="AD75" s="562">
        <f t="shared" si="9"/>
        <v>162.66666666666666</v>
      </c>
    </row>
    <row r="76" spans="2:30" ht="15" thickBot="1" x14ac:dyDescent="0.25">
      <c r="B76" s="339" t="s">
        <v>249</v>
      </c>
      <c r="C76" s="338" t="s">
        <v>498</v>
      </c>
      <c r="D76" s="394" t="s">
        <v>213</v>
      </c>
      <c r="E76" s="35" t="s">
        <v>571</v>
      </c>
      <c r="F76" s="30">
        <f t="shared" si="10"/>
        <v>1015</v>
      </c>
      <c r="G76" s="27">
        <v>900</v>
      </c>
      <c r="H76" s="27">
        <v>0</v>
      </c>
      <c r="I76" s="27">
        <v>0</v>
      </c>
      <c r="J76" s="27">
        <v>115</v>
      </c>
      <c r="K76" s="30">
        <f t="shared" si="11"/>
        <v>1015</v>
      </c>
      <c r="L76" s="27">
        <v>900</v>
      </c>
      <c r="M76" s="27">
        <v>0</v>
      </c>
      <c r="N76" s="27">
        <v>0</v>
      </c>
      <c r="O76" s="27">
        <v>115</v>
      </c>
      <c r="P76" s="30">
        <f t="shared" si="12"/>
        <v>991</v>
      </c>
      <c r="Q76" s="27">
        <v>850</v>
      </c>
      <c r="R76" s="27">
        <v>0</v>
      </c>
      <c r="S76" s="27">
        <v>0</v>
      </c>
      <c r="T76" s="27">
        <v>141</v>
      </c>
      <c r="U76" s="30">
        <f t="shared" si="13"/>
        <v>-24</v>
      </c>
      <c r="V76" s="27">
        <v>-50</v>
      </c>
      <c r="W76" s="27">
        <v>0</v>
      </c>
      <c r="X76" s="27">
        <v>0</v>
      </c>
      <c r="Y76" s="31">
        <v>26</v>
      </c>
      <c r="Z76" s="559">
        <f t="shared" si="5"/>
        <v>97.635467980295559</v>
      </c>
      <c r="AA76" s="561">
        <f t="shared" si="6"/>
        <v>94.444444444444443</v>
      </c>
      <c r="AB76" s="563" t="str">
        <f t="shared" si="7"/>
        <v xml:space="preserve"> </v>
      </c>
      <c r="AC76" s="561" t="str">
        <f t="shared" si="8"/>
        <v xml:space="preserve"> </v>
      </c>
      <c r="AD76" s="562">
        <f t="shared" si="9"/>
        <v>122.60869565217392</v>
      </c>
    </row>
    <row r="77" spans="2:30" ht="15" thickBot="1" x14ac:dyDescent="0.25">
      <c r="B77" s="339" t="s">
        <v>249</v>
      </c>
      <c r="C77" s="338" t="s">
        <v>505</v>
      </c>
      <c r="D77" s="394" t="s">
        <v>213</v>
      </c>
      <c r="E77" s="35" t="s">
        <v>571</v>
      </c>
      <c r="F77" s="30">
        <f t="shared" si="10"/>
        <v>777</v>
      </c>
      <c r="G77" s="27">
        <v>676</v>
      </c>
      <c r="H77" s="27">
        <v>0</v>
      </c>
      <c r="I77" s="27">
        <v>0</v>
      </c>
      <c r="J77" s="27">
        <v>101</v>
      </c>
      <c r="K77" s="30">
        <f t="shared" si="11"/>
        <v>777</v>
      </c>
      <c r="L77" s="27">
        <v>676</v>
      </c>
      <c r="M77" s="27">
        <v>0</v>
      </c>
      <c r="N77" s="27">
        <v>0</v>
      </c>
      <c r="O77" s="27">
        <v>101</v>
      </c>
      <c r="P77" s="30">
        <f t="shared" si="12"/>
        <v>691</v>
      </c>
      <c r="Q77" s="27">
        <v>670</v>
      </c>
      <c r="R77" s="27">
        <v>0</v>
      </c>
      <c r="S77" s="27">
        <v>0</v>
      </c>
      <c r="T77" s="27">
        <v>21</v>
      </c>
      <c r="U77" s="30">
        <f t="shared" si="13"/>
        <v>-86</v>
      </c>
      <c r="V77" s="27">
        <v>-6</v>
      </c>
      <c r="W77" s="27">
        <v>0</v>
      </c>
      <c r="X77" s="27">
        <v>0</v>
      </c>
      <c r="Y77" s="31">
        <v>-80</v>
      </c>
      <c r="Z77" s="559">
        <f t="shared" si="5"/>
        <v>88.93178893178893</v>
      </c>
      <c r="AA77" s="561">
        <f t="shared" si="6"/>
        <v>99.112426035502949</v>
      </c>
      <c r="AB77" s="563" t="str">
        <f t="shared" si="7"/>
        <v xml:space="preserve"> </v>
      </c>
      <c r="AC77" s="561" t="str">
        <f t="shared" si="8"/>
        <v xml:space="preserve"> </v>
      </c>
      <c r="AD77" s="562">
        <f t="shared" si="9"/>
        <v>20.792079207920793</v>
      </c>
    </row>
    <row r="78" spans="2:30" ht="15.75" thickBot="1" x14ac:dyDescent="0.25">
      <c r="B78" s="336" t="s">
        <v>249</v>
      </c>
      <c r="C78" s="335"/>
      <c r="D78" s="393" t="s">
        <v>213</v>
      </c>
      <c r="E78" s="395" t="s">
        <v>571</v>
      </c>
      <c r="F78" s="34">
        <f t="shared" ref="F78:F109" si="14">SUM(G78:J78)</f>
        <v>8157</v>
      </c>
      <c r="G78" s="331">
        <f>SUM(G74:G77)</f>
        <v>6842</v>
      </c>
      <c r="H78" s="331">
        <f>SUM(H74:H77)</f>
        <v>0</v>
      </c>
      <c r="I78" s="331">
        <f>SUM(I74:I77)</f>
        <v>0</v>
      </c>
      <c r="J78" s="331">
        <f>SUM(J74:J77)</f>
        <v>1315</v>
      </c>
      <c r="K78" s="34">
        <f t="shared" ref="K78:K109" si="15">SUM(L78:O78)</f>
        <v>8157</v>
      </c>
      <c r="L78" s="331">
        <f>SUM(L74:L77)</f>
        <v>6842</v>
      </c>
      <c r="M78" s="331">
        <f>SUM(M74:M77)</f>
        <v>0</v>
      </c>
      <c r="N78" s="331">
        <f>SUM(N74:N77)</f>
        <v>0</v>
      </c>
      <c r="O78" s="331">
        <f>SUM(O74:O77)</f>
        <v>1315</v>
      </c>
      <c r="P78" s="34">
        <f t="shared" ref="P78:P109" si="16">SUM(Q78:T78)</f>
        <v>7745</v>
      </c>
      <c r="Q78" s="331">
        <f>SUM(Q74:Q77)</f>
        <v>6500</v>
      </c>
      <c r="R78" s="331">
        <f>SUM(R74:R77)</f>
        <v>0</v>
      </c>
      <c r="S78" s="331">
        <f>SUM(S74:S77)</f>
        <v>0</v>
      </c>
      <c r="T78" s="331">
        <f>SUM(T74:T77)</f>
        <v>1245</v>
      </c>
      <c r="U78" s="34">
        <f t="shared" ref="U78:U109" si="17">SUM(V78:Y78)</f>
        <v>-412</v>
      </c>
      <c r="V78" s="331">
        <f>SUM(V74:V77)</f>
        <v>-342</v>
      </c>
      <c r="W78" s="331">
        <f>SUM(W74:W77)</f>
        <v>0</v>
      </c>
      <c r="X78" s="331">
        <f>SUM(X74:X77)</f>
        <v>0</v>
      </c>
      <c r="Y78" s="330">
        <f>SUM(Y74:Y77)</f>
        <v>-70</v>
      </c>
      <c r="Z78" s="559">
        <f t="shared" si="5"/>
        <v>94.949123452249609</v>
      </c>
      <c r="AA78" s="561">
        <f t="shared" si="6"/>
        <v>95.001461560947092</v>
      </c>
      <c r="AB78" s="563" t="str">
        <f t="shared" si="7"/>
        <v xml:space="preserve"> </v>
      </c>
      <c r="AC78" s="561" t="str">
        <f t="shared" si="8"/>
        <v xml:space="preserve"> </v>
      </c>
      <c r="AD78" s="562">
        <f t="shared" si="9"/>
        <v>94.676806083650192</v>
      </c>
    </row>
    <row r="79" spans="2:30" ht="15" thickBot="1" x14ac:dyDescent="0.25">
      <c r="B79" s="339" t="s">
        <v>248</v>
      </c>
      <c r="C79" s="338" t="s">
        <v>511</v>
      </c>
      <c r="D79" s="394" t="s">
        <v>213</v>
      </c>
      <c r="E79" s="35" t="s">
        <v>247</v>
      </c>
      <c r="F79" s="30">
        <f t="shared" si="14"/>
        <v>2097</v>
      </c>
      <c r="G79" s="27">
        <v>1700</v>
      </c>
      <c r="H79" s="27">
        <v>0</v>
      </c>
      <c r="I79" s="27">
        <v>0</v>
      </c>
      <c r="J79" s="27">
        <v>397</v>
      </c>
      <c r="K79" s="30">
        <f t="shared" si="15"/>
        <v>2097</v>
      </c>
      <c r="L79" s="27">
        <v>1700</v>
      </c>
      <c r="M79" s="27">
        <v>0</v>
      </c>
      <c r="N79" s="27">
        <v>0</v>
      </c>
      <c r="O79" s="27">
        <v>397</v>
      </c>
      <c r="P79" s="30">
        <f t="shared" si="16"/>
        <v>2026</v>
      </c>
      <c r="Q79" s="27">
        <v>1615</v>
      </c>
      <c r="R79" s="27">
        <v>0</v>
      </c>
      <c r="S79" s="27">
        <v>0</v>
      </c>
      <c r="T79" s="27">
        <v>411</v>
      </c>
      <c r="U79" s="30">
        <f t="shared" si="17"/>
        <v>-71</v>
      </c>
      <c r="V79" s="27">
        <v>-85</v>
      </c>
      <c r="W79" s="27">
        <v>0</v>
      </c>
      <c r="X79" s="27">
        <v>0</v>
      </c>
      <c r="Y79" s="31">
        <v>14</v>
      </c>
      <c r="Z79" s="559">
        <f t="shared" ref="Z79:Z142" si="18">IF(P79=0," ",IF(F79=0," ",P79/F79*100))</f>
        <v>96.614210777300897</v>
      </c>
      <c r="AA79" s="561">
        <f t="shared" ref="AA79:AA142" si="19">IF(Q79=0," ",IF(G79=0," ",Q79/G79*100))</f>
        <v>95</v>
      </c>
      <c r="AB79" s="563" t="str">
        <f t="shared" ref="AB79:AB142" si="20">IF(R79=0," ",IF(H79=0," ",R79/H79*100))</f>
        <v xml:space="preserve"> </v>
      </c>
      <c r="AC79" s="561" t="str">
        <f t="shared" ref="AC79:AC142" si="21">IF(S79=0," ",IF(I79=0," ",S79/I79*100))</f>
        <v xml:space="preserve"> </v>
      </c>
      <c r="AD79" s="562">
        <f t="shared" ref="AD79:AD142" si="22">IF(T79=0," ",IF(J79=0," ",T79/J79*100))</f>
        <v>103.5264483627204</v>
      </c>
    </row>
    <row r="80" spans="2:30" ht="15" thickBot="1" x14ac:dyDescent="0.25">
      <c r="B80" s="339" t="s">
        <v>248</v>
      </c>
      <c r="C80" s="338" t="s">
        <v>506</v>
      </c>
      <c r="D80" s="394" t="s">
        <v>213</v>
      </c>
      <c r="E80" s="35" t="s">
        <v>247</v>
      </c>
      <c r="F80" s="30">
        <f t="shared" si="14"/>
        <v>2630</v>
      </c>
      <c r="G80" s="27">
        <v>1900</v>
      </c>
      <c r="H80" s="27">
        <v>0</v>
      </c>
      <c r="I80" s="27">
        <v>0</v>
      </c>
      <c r="J80" s="27">
        <v>730</v>
      </c>
      <c r="K80" s="30">
        <f t="shared" si="15"/>
        <v>2630</v>
      </c>
      <c r="L80" s="27">
        <f>189028/100</f>
        <v>1890.28</v>
      </c>
      <c r="M80" s="27">
        <f>972/100</f>
        <v>9.7200000000000006</v>
      </c>
      <c r="N80" s="27">
        <v>0</v>
      </c>
      <c r="O80" s="27">
        <v>730</v>
      </c>
      <c r="P80" s="30">
        <f t="shared" si="16"/>
        <v>2717</v>
      </c>
      <c r="Q80" s="27">
        <f>1805+180</f>
        <v>1985</v>
      </c>
      <c r="R80" s="27">
        <v>0</v>
      </c>
      <c r="S80" s="27">
        <v>0</v>
      </c>
      <c r="T80" s="27">
        <v>732</v>
      </c>
      <c r="U80" s="30">
        <f>SUM(V80:Y80)</f>
        <v>87</v>
      </c>
      <c r="V80" s="27">
        <f>Q80-G80</f>
        <v>85</v>
      </c>
      <c r="W80" s="27">
        <v>0</v>
      </c>
      <c r="X80" s="27">
        <v>0</v>
      </c>
      <c r="Y80" s="31">
        <f>T80-J80</f>
        <v>2</v>
      </c>
      <c r="Z80" s="559">
        <f t="shared" si="18"/>
        <v>103.30798479087453</v>
      </c>
      <c r="AA80" s="561">
        <f t="shared" si="19"/>
        <v>104.47368421052632</v>
      </c>
      <c r="AB80" s="563" t="str">
        <f t="shared" si="20"/>
        <v xml:space="preserve"> </v>
      </c>
      <c r="AC80" s="561" t="str">
        <f t="shared" si="21"/>
        <v xml:space="preserve"> </v>
      </c>
      <c r="AD80" s="562">
        <f t="shared" si="22"/>
        <v>100.27397260273973</v>
      </c>
    </row>
    <row r="81" spans="2:30" ht="15" thickBot="1" x14ac:dyDescent="0.25">
      <c r="B81" s="339" t="s">
        <v>248</v>
      </c>
      <c r="C81" s="338" t="s">
        <v>514</v>
      </c>
      <c r="D81" s="394" t="s">
        <v>213</v>
      </c>
      <c r="E81" s="35" t="s">
        <v>247</v>
      </c>
      <c r="F81" s="30">
        <f t="shared" si="14"/>
        <v>815</v>
      </c>
      <c r="G81" s="27">
        <v>632</v>
      </c>
      <c r="H81" s="27">
        <v>0</v>
      </c>
      <c r="I81" s="27">
        <v>0</v>
      </c>
      <c r="J81" s="27">
        <v>183</v>
      </c>
      <c r="K81" s="30">
        <f t="shared" si="15"/>
        <v>815</v>
      </c>
      <c r="L81" s="27">
        <v>632</v>
      </c>
      <c r="M81" s="27">
        <v>0</v>
      </c>
      <c r="N81" s="27">
        <v>0</v>
      </c>
      <c r="O81" s="27">
        <v>183</v>
      </c>
      <c r="P81" s="30">
        <f t="shared" si="16"/>
        <v>782</v>
      </c>
      <c r="Q81" s="27">
        <v>600</v>
      </c>
      <c r="R81" s="27">
        <v>0</v>
      </c>
      <c r="S81" s="27">
        <v>0</v>
      </c>
      <c r="T81" s="27">
        <v>182</v>
      </c>
      <c r="U81" s="30">
        <f t="shared" si="17"/>
        <v>-33</v>
      </c>
      <c r="V81" s="27">
        <v>-32</v>
      </c>
      <c r="W81" s="27">
        <v>0</v>
      </c>
      <c r="X81" s="27">
        <v>0</v>
      </c>
      <c r="Y81" s="31">
        <v>-1</v>
      </c>
      <c r="Z81" s="559">
        <f t="shared" si="18"/>
        <v>95.950920245398777</v>
      </c>
      <c r="AA81" s="561">
        <f t="shared" si="19"/>
        <v>94.936708860759495</v>
      </c>
      <c r="AB81" s="563" t="str">
        <f t="shared" si="20"/>
        <v xml:space="preserve"> </v>
      </c>
      <c r="AC81" s="561" t="str">
        <f t="shared" si="21"/>
        <v xml:space="preserve"> </v>
      </c>
      <c r="AD81" s="562">
        <f t="shared" si="22"/>
        <v>99.453551912568301</v>
      </c>
    </row>
    <row r="82" spans="2:30" ht="15" thickBot="1" x14ac:dyDescent="0.25">
      <c r="B82" s="339" t="s">
        <v>248</v>
      </c>
      <c r="C82" s="338" t="s">
        <v>498</v>
      </c>
      <c r="D82" s="394" t="s">
        <v>213</v>
      </c>
      <c r="E82" s="35" t="s">
        <v>247</v>
      </c>
      <c r="F82" s="30">
        <f t="shared" si="14"/>
        <v>1755</v>
      </c>
      <c r="G82" s="27">
        <v>1660</v>
      </c>
      <c r="H82" s="27">
        <v>0</v>
      </c>
      <c r="I82" s="27">
        <v>0</v>
      </c>
      <c r="J82" s="27">
        <v>95</v>
      </c>
      <c r="K82" s="30">
        <f t="shared" si="15"/>
        <v>1755</v>
      </c>
      <c r="L82" s="27">
        <v>1660</v>
      </c>
      <c r="M82" s="27">
        <v>0</v>
      </c>
      <c r="N82" s="27">
        <v>0</v>
      </c>
      <c r="O82" s="27">
        <v>95</v>
      </c>
      <c r="P82" s="30">
        <f t="shared" si="16"/>
        <v>1639</v>
      </c>
      <c r="Q82" s="27">
        <v>1577</v>
      </c>
      <c r="R82" s="27">
        <v>0</v>
      </c>
      <c r="S82" s="27">
        <v>0</v>
      </c>
      <c r="T82" s="27">
        <v>62</v>
      </c>
      <c r="U82" s="30">
        <f t="shared" si="17"/>
        <v>-116</v>
      </c>
      <c r="V82" s="27">
        <v>-83</v>
      </c>
      <c r="W82" s="27">
        <v>0</v>
      </c>
      <c r="X82" s="27">
        <v>0</v>
      </c>
      <c r="Y82" s="31">
        <v>-33</v>
      </c>
      <c r="Z82" s="559">
        <f t="shared" si="18"/>
        <v>93.390313390313395</v>
      </c>
      <c r="AA82" s="561">
        <f t="shared" si="19"/>
        <v>95</v>
      </c>
      <c r="AB82" s="563" t="str">
        <f t="shared" si="20"/>
        <v xml:space="preserve"> </v>
      </c>
      <c r="AC82" s="561" t="str">
        <f t="shared" si="21"/>
        <v xml:space="preserve"> </v>
      </c>
      <c r="AD82" s="562">
        <f t="shared" si="22"/>
        <v>65.26315789473685</v>
      </c>
    </row>
    <row r="83" spans="2:30" ht="15" thickBot="1" x14ac:dyDescent="0.25">
      <c r="B83" s="339" t="s">
        <v>248</v>
      </c>
      <c r="C83" s="338" t="s">
        <v>505</v>
      </c>
      <c r="D83" s="394" t="s">
        <v>213</v>
      </c>
      <c r="E83" s="35" t="s">
        <v>247</v>
      </c>
      <c r="F83" s="30">
        <f t="shared" si="14"/>
        <v>1033</v>
      </c>
      <c r="G83" s="27">
        <v>650</v>
      </c>
      <c r="H83" s="27">
        <v>0</v>
      </c>
      <c r="I83" s="27">
        <v>0</v>
      </c>
      <c r="J83" s="27">
        <v>383</v>
      </c>
      <c r="K83" s="30">
        <f t="shared" si="15"/>
        <v>1033</v>
      </c>
      <c r="L83" s="27">
        <v>650</v>
      </c>
      <c r="M83" s="27">
        <v>0</v>
      </c>
      <c r="N83" s="27">
        <v>0</v>
      </c>
      <c r="O83" s="27">
        <v>383</v>
      </c>
      <c r="P83" s="30">
        <f t="shared" si="16"/>
        <v>1005</v>
      </c>
      <c r="Q83" s="27">
        <v>618</v>
      </c>
      <c r="R83" s="27">
        <v>0</v>
      </c>
      <c r="S83" s="27">
        <v>0</v>
      </c>
      <c r="T83" s="27">
        <v>387</v>
      </c>
      <c r="U83" s="30">
        <f t="shared" si="17"/>
        <v>-28</v>
      </c>
      <c r="V83" s="27">
        <v>-32</v>
      </c>
      <c r="W83" s="27">
        <v>0</v>
      </c>
      <c r="X83" s="27">
        <v>0</v>
      </c>
      <c r="Y83" s="31">
        <v>4</v>
      </c>
      <c r="Z83" s="559">
        <f t="shared" si="18"/>
        <v>97.289448209099703</v>
      </c>
      <c r="AA83" s="561">
        <f t="shared" si="19"/>
        <v>95.07692307692308</v>
      </c>
      <c r="AB83" s="563" t="str">
        <f t="shared" si="20"/>
        <v xml:space="preserve"> </v>
      </c>
      <c r="AC83" s="561" t="str">
        <f t="shared" si="21"/>
        <v xml:space="preserve"> </v>
      </c>
      <c r="AD83" s="562">
        <f t="shared" si="22"/>
        <v>101.0443864229765</v>
      </c>
    </row>
    <row r="84" spans="2:30" ht="15.75" thickBot="1" x14ac:dyDescent="0.25">
      <c r="B84" s="336" t="s">
        <v>248</v>
      </c>
      <c r="C84" s="335"/>
      <c r="D84" s="393" t="s">
        <v>213</v>
      </c>
      <c r="E84" s="333" t="s">
        <v>247</v>
      </c>
      <c r="F84" s="34">
        <f t="shared" si="14"/>
        <v>8330</v>
      </c>
      <c r="G84" s="331">
        <f>SUM(G79:G83)</f>
        <v>6542</v>
      </c>
      <c r="H84" s="331">
        <f>SUM(H79:H83)</f>
        <v>0</v>
      </c>
      <c r="I84" s="331">
        <f>SUM(I79:I83)</f>
        <v>0</v>
      </c>
      <c r="J84" s="331">
        <f>SUM(J79:J83)</f>
        <v>1788</v>
      </c>
      <c r="K84" s="34">
        <f t="shared" si="15"/>
        <v>8330</v>
      </c>
      <c r="L84" s="331">
        <f>SUM(L79:L83)</f>
        <v>6532.28</v>
      </c>
      <c r="M84" s="331">
        <f>SUM(M79:M83)</f>
        <v>9.7200000000000006</v>
      </c>
      <c r="N84" s="331">
        <f>SUM(N79:N83)</f>
        <v>0</v>
      </c>
      <c r="O84" s="331">
        <f>SUM(O79:O83)</f>
        <v>1788</v>
      </c>
      <c r="P84" s="34">
        <f t="shared" si="16"/>
        <v>8169</v>
      </c>
      <c r="Q84" s="331">
        <f>SUM(Q79:Q83)</f>
        <v>6395</v>
      </c>
      <c r="R84" s="331">
        <f>SUM(R79:R83)</f>
        <v>0</v>
      </c>
      <c r="S84" s="331">
        <f>SUM(S79:S83)</f>
        <v>0</v>
      </c>
      <c r="T84" s="331">
        <f>SUM(T79:T83)</f>
        <v>1774</v>
      </c>
      <c r="U84" s="34">
        <f t="shared" si="17"/>
        <v>-161</v>
      </c>
      <c r="V84" s="331">
        <f>SUM(V79:V83)</f>
        <v>-147</v>
      </c>
      <c r="W84" s="331">
        <f>SUM(W79:W83)</f>
        <v>0</v>
      </c>
      <c r="X84" s="331">
        <f>SUM(X79:X83)</f>
        <v>0</v>
      </c>
      <c r="Y84" s="330">
        <f>SUM(Y79:Y83)</f>
        <v>-14</v>
      </c>
      <c r="Z84" s="559">
        <f t="shared" si="18"/>
        <v>98.067226890756302</v>
      </c>
      <c r="AA84" s="561">
        <f t="shared" si="19"/>
        <v>97.752980739834911</v>
      </c>
      <c r="AB84" s="563" t="str">
        <f t="shared" si="20"/>
        <v xml:space="preserve"> </v>
      </c>
      <c r="AC84" s="561" t="str">
        <f t="shared" si="21"/>
        <v xml:space="preserve"> </v>
      </c>
      <c r="AD84" s="562">
        <f t="shared" si="22"/>
        <v>99.217002237136469</v>
      </c>
    </row>
    <row r="85" spans="2:30" ht="26.25" thickBot="1" x14ac:dyDescent="0.25">
      <c r="B85" s="339" t="s">
        <v>246</v>
      </c>
      <c r="C85" s="338" t="s">
        <v>513</v>
      </c>
      <c r="D85" s="394"/>
      <c r="E85" s="35" t="s">
        <v>570</v>
      </c>
      <c r="F85" s="30">
        <f t="shared" si="14"/>
        <v>336</v>
      </c>
      <c r="G85" s="27">
        <v>336</v>
      </c>
      <c r="H85" s="27">
        <v>0</v>
      </c>
      <c r="I85" s="27">
        <v>0</v>
      </c>
      <c r="J85" s="27">
        <v>0</v>
      </c>
      <c r="K85" s="30">
        <f t="shared" si="15"/>
        <v>336</v>
      </c>
      <c r="L85" s="27">
        <v>331</v>
      </c>
      <c r="M85" s="27">
        <v>5</v>
      </c>
      <c r="N85" s="27">
        <v>0</v>
      </c>
      <c r="O85" s="27">
        <v>0</v>
      </c>
      <c r="P85" s="30">
        <f t="shared" si="16"/>
        <v>0</v>
      </c>
      <c r="Q85" s="27">
        <v>0</v>
      </c>
      <c r="R85" s="27">
        <v>0</v>
      </c>
      <c r="S85" s="27">
        <v>0</v>
      </c>
      <c r="T85" s="27">
        <v>0</v>
      </c>
      <c r="U85" s="30">
        <f t="shared" si="17"/>
        <v>-336</v>
      </c>
      <c r="V85" s="27">
        <v>-336</v>
      </c>
      <c r="W85" s="27">
        <v>0</v>
      </c>
      <c r="X85" s="27">
        <v>0</v>
      </c>
      <c r="Y85" s="31">
        <v>0</v>
      </c>
      <c r="Z85" s="559" t="str">
        <f t="shared" si="18"/>
        <v xml:space="preserve"> </v>
      </c>
      <c r="AA85" s="561" t="str">
        <f t="shared" si="19"/>
        <v xml:space="preserve"> </v>
      </c>
      <c r="AB85" s="563" t="str">
        <f t="shared" si="20"/>
        <v xml:space="preserve"> </v>
      </c>
      <c r="AC85" s="561" t="str">
        <f t="shared" si="21"/>
        <v xml:space="preserve"> </v>
      </c>
      <c r="AD85" s="562" t="str">
        <f t="shared" si="22"/>
        <v xml:space="preserve"> </v>
      </c>
    </row>
    <row r="86" spans="2:30" ht="26.25" thickBot="1" x14ac:dyDescent="0.25">
      <c r="B86" s="336" t="s">
        <v>246</v>
      </c>
      <c r="C86" s="335"/>
      <c r="D86" s="393"/>
      <c r="E86" s="395" t="s">
        <v>570</v>
      </c>
      <c r="F86" s="34">
        <f t="shared" si="14"/>
        <v>336</v>
      </c>
      <c r="G86" s="70">
        <f>G85</f>
        <v>336</v>
      </c>
      <c r="H86" s="70">
        <f>H85</f>
        <v>0</v>
      </c>
      <c r="I86" s="70">
        <f>I85</f>
        <v>0</v>
      </c>
      <c r="J86" s="70">
        <f>J85</f>
        <v>0</v>
      </c>
      <c r="K86" s="34">
        <f t="shared" si="15"/>
        <v>336</v>
      </c>
      <c r="L86" s="70">
        <f>L85</f>
        <v>331</v>
      </c>
      <c r="M86" s="70">
        <f>M85</f>
        <v>5</v>
      </c>
      <c r="N86" s="70">
        <f>N85</f>
        <v>0</v>
      </c>
      <c r="O86" s="70">
        <f>O85</f>
        <v>0</v>
      </c>
      <c r="P86" s="34">
        <f t="shared" si="16"/>
        <v>0</v>
      </c>
      <c r="Q86" s="70">
        <f>Q85</f>
        <v>0</v>
      </c>
      <c r="R86" s="70">
        <f>R85</f>
        <v>0</v>
      </c>
      <c r="S86" s="70">
        <f>S85</f>
        <v>0</v>
      </c>
      <c r="T86" s="70">
        <f>T85</f>
        <v>0</v>
      </c>
      <c r="U86" s="34">
        <f t="shared" si="17"/>
        <v>-336</v>
      </c>
      <c r="V86" s="70">
        <f>V85</f>
        <v>-336</v>
      </c>
      <c r="W86" s="70">
        <f>W85</f>
        <v>0</v>
      </c>
      <c r="X86" s="70">
        <f>X85</f>
        <v>0</v>
      </c>
      <c r="Y86" s="69">
        <f>Y85</f>
        <v>0</v>
      </c>
      <c r="Z86" s="559" t="str">
        <f t="shared" si="18"/>
        <v xml:space="preserve"> </v>
      </c>
      <c r="AA86" s="561" t="str">
        <f t="shared" si="19"/>
        <v xml:space="preserve"> </v>
      </c>
      <c r="AB86" s="563" t="str">
        <f t="shared" si="20"/>
        <v xml:space="preserve"> </v>
      </c>
      <c r="AC86" s="561" t="str">
        <f t="shared" si="21"/>
        <v xml:space="preserve"> </v>
      </c>
      <c r="AD86" s="562" t="str">
        <f t="shared" si="22"/>
        <v xml:space="preserve"> </v>
      </c>
    </row>
    <row r="87" spans="2:30" ht="15" thickBot="1" x14ac:dyDescent="0.25">
      <c r="B87" s="339" t="s">
        <v>245</v>
      </c>
      <c r="C87" s="338" t="s">
        <v>511</v>
      </c>
      <c r="D87" s="394" t="s">
        <v>213</v>
      </c>
      <c r="E87" s="35" t="s">
        <v>244</v>
      </c>
      <c r="F87" s="30">
        <f t="shared" si="14"/>
        <v>3284</v>
      </c>
      <c r="G87" s="27">
        <v>2772</v>
      </c>
      <c r="H87" s="27">
        <v>0</v>
      </c>
      <c r="I87" s="27">
        <v>0</v>
      </c>
      <c r="J87" s="27">
        <v>512</v>
      </c>
      <c r="K87" s="30">
        <f t="shared" si="15"/>
        <v>3284</v>
      </c>
      <c r="L87" s="27">
        <v>2772</v>
      </c>
      <c r="M87" s="27">
        <v>0</v>
      </c>
      <c r="N87" s="27">
        <v>0</v>
      </c>
      <c r="O87" s="27">
        <v>512</v>
      </c>
      <c r="P87" s="30">
        <f t="shared" si="16"/>
        <v>3119</v>
      </c>
      <c r="Q87" s="27">
        <v>2606</v>
      </c>
      <c r="R87" s="27">
        <v>0</v>
      </c>
      <c r="S87" s="27">
        <v>0</v>
      </c>
      <c r="T87" s="27">
        <v>513</v>
      </c>
      <c r="U87" s="30">
        <f t="shared" si="17"/>
        <v>-165</v>
      </c>
      <c r="V87" s="27">
        <v>-166</v>
      </c>
      <c r="W87" s="27">
        <v>0</v>
      </c>
      <c r="X87" s="27">
        <v>0</v>
      </c>
      <c r="Y87" s="31">
        <v>1</v>
      </c>
      <c r="Z87" s="559">
        <f t="shared" si="18"/>
        <v>94.975639464068209</v>
      </c>
      <c r="AA87" s="561">
        <f t="shared" si="19"/>
        <v>94.011544011544018</v>
      </c>
      <c r="AB87" s="563" t="str">
        <f t="shared" si="20"/>
        <v xml:space="preserve"> </v>
      </c>
      <c r="AC87" s="561" t="str">
        <f t="shared" si="21"/>
        <v xml:space="preserve"> </v>
      </c>
      <c r="AD87" s="562">
        <f t="shared" si="22"/>
        <v>100.1953125</v>
      </c>
    </row>
    <row r="88" spans="2:30" ht="15" thickBot="1" x14ac:dyDescent="0.25">
      <c r="B88" s="339" t="s">
        <v>245</v>
      </c>
      <c r="C88" s="338" t="s">
        <v>498</v>
      </c>
      <c r="D88" s="394" t="s">
        <v>213</v>
      </c>
      <c r="E88" s="35" t="s">
        <v>244</v>
      </c>
      <c r="F88" s="30">
        <f t="shared" si="14"/>
        <v>340</v>
      </c>
      <c r="G88" s="27">
        <v>340</v>
      </c>
      <c r="H88" s="27">
        <v>0</v>
      </c>
      <c r="I88" s="27">
        <v>0</v>
      </c>
      <c r="J88" s="27">
        <v>0</v>
      </c>
      <c r="K88" s="30">
        <f t="shared" si="15"/>
        <v>340</v>
      </c>
      <c r="L88" s="27">
        <v>340</v>
      </c>
      <c r="M88" s="27">
        <v>0</v>
      </c>
      <c r="N88" s="27">
        <v>0</v>
      </c>
      <c r="O88" s="27">
        <v>0</v>
      </c>
      <c r="P88" s="30">
        <f t="shared" si="16"/>
        <v>350</v>
      </c>
      <c r="Q88" s="27">
        <v>350</v>
      </c>
      <c r="R88" s="27">
        <v>0</v>
      </c>
      <c r="S88" s="27">
        <v>0</v>
      </c>
      <c r="T88" s="27">
        <v>0</v>
      </c>
      <c r="U88" s="30">
        <f t="shared" si="17"/>
        <v>10</v>
      </c>
      <c r="V88" s="27">
        <v>10</v>
      </c>
      <c r="W88" s="27">
        <v>0</v>
      </c>
      <c r="X88" s="27">
        <v>0</v>
      </c>
      <c r="Y88" s="31">
        <v>0</v>
      </c>
      <c r="Z88" s="559">
        <f t="shared" si="18"/>
        <v>102.94117647058823</v>
      </c>
      <c r="AA88" s="561">
        <f t="shared" si="19"/>
        <v>102.94117647058823</v>
      </c>
      <c r="AB88" s="563" t="str">
        <f t="shared" si="20"/>
        <v xml:space="preserve"> </v>
      </c>
      <c r="AC88" s="561" t="str">
        <f t="shared" si="21"/>
        <v xml:space="preserve"> </v>
      </c>
      <c r="AD88" s="562" t="str">
        <f t="shared" si="22"/>
        <v xml:space="preserve"> </v>
      </c>
    </row>
    <row r="89" spans="2:30" ht="15.75" thickBot="1" x14ac:dyDescent="0.25">
      <c r="B89" s="336" t="s">
        <v>245</v>
      </c>
      <c r="C89" s="335"/>
      <c r="D89" s="393" t="s">
        <v>213</v>
      </c>
      <c r="E89" s="333" t="s">
        <v>244</v>
      </c>
      <c r="F89" s="34">
        <f t="shared" si="14"/>
        <v>3624</v>
      </c>
      <c r="G89" s="331">
        <f>SUM(G87:G88)</f>
        <v>3112</v>
      </c>
      <c r="H89" s="331">
        <f>SUM(H87:H88)</f>
        <v>0</v>
      </c>
      <c r="I89" s="331">
        <f>SUM(I87:I88)</f>
        <v>0</v>
      </c>
      <c r="J89" s="331">
        <f>SUM(J87:J88)</f>
        <v>512</v>
      </c>
      <c r="K89" s="34">
        <f t="shared" si="15"/>
        <v>3624</v>
      </c>
      <c r="L89" s="331">
        <f>SUM(L87:L88)</f>
        <v>3112</v>
      </c>
      <c r="M89" s="331">
        <f>SUM(M87:M88)</f>
        <v>0</v>
      </c>
      <c r="N89" s="331">
        <f>SUM(N87:N88)</f>
        <v>0</v>
      </c>
      <c r="O89" s="331">
        <f>SUM(O87:O88)</f>
        <v>512</v>
      </c>
      <c r="P89" s="34">
        <f t="shared" si="16"/>
        <v>3469</v>
      </c>
      <c r="Q89" s="331">
        <f>SUM(Q87:Q88)</f>
        <v>2956</v>
      </c>
      <c r="R89" s="331">
        <f>SUM(R87:R88)</f>
        <v>0</v>
      </c>
      <c r="S89" s="331">
        <f>SUM(S87:S88)</f>
        <v>0</v>
      </c>
      <c r="T89" s="331">
        <f>SUM(T87:T88)</f>
        <v>513</v>
      </c>
      <c r="U89" s="34">
        <f t="shared" si="17"/>
        <v>-155</v>
      </c>
      <c r="V89" s="331">
        <f>SUM(V87:V88)</f>
        <v>-156</v>
      </c>
      <c r="W89" s="331">
        <f>SUM(W87:W88)</f>
        <v>0</v>
      </c>
      <c r="X89" s="331">
        <f>SUM(X87:X88)</f>
        <v>0</v>
      </c>
      <c r="Y89" s="330">
        <f>SUM(Y87:Y88)</f>
        <v>1</v>
      </c>
      <c r="Z89" s="559">
        <f t="shared" si="18"/>
        <v>95.722958057395147</v>
      </c>
      <c r="AA89" s="561">
        <f t="shared" si="19"/>
        <v>94.987146529562978</v>
      </c>
      <c r="AB89" s="563" t="str">
        <f t="shared" si="20"/>
        <v xml:space="preserve"> </v>
      </c>
      <c r="AC89" s="561" t="str">
        <f t="shared" si="21"/>
        <v xml:space="preserve"> </v>
      </c>
      <c r="AD89" s="562">
        <f t="shared" si="22"/>
        <v>100.1953125</v>
      </c>
    </row>
    <row r="90" spans="2:30" ht="26.25" thickBot="1" x14ac:dyDescent="0.25">
      <c r="B90" s="339" t="s">
        <v>243</v>
      </c>
      <c r="C90" s="338" t="s">
        <v>511</v>
      </c>
      <c r="D90" s="394" t="s">
        <v>213</v>
      </c>
      <c r="E90" s="35" t="s">
        <v>619</v>
      </c>
      <c r="F90" s="30">
        <f t="shared" si="14"/>
        <v>4245</v>
      </c>
      <c r="G90" s="27">
        <v>2800</v>
      </c>
      <c r="H90" s="27">
        <v>0</v>
      </c>
      <c r="I90" s="27">
        <v>0</v>
      </c>
      <c r="J90" s="27">
        <v>1445</v>
      </c>
      <c r="K90" s="30">
        <f t="shared" si="15"/>
        <v>4245</v>
      </c>
      <c r="L90" s="27">
        <v>2800</v>
      </c>
      <c r="M90" s="27">
        <v>0</v>
      </c>
      <c r="N90" s="27">
        <v>0</v>
      </c>
      <c r="O90" s="27">
        <v>1445</v>
      </c>
      <c r="P90" s="30">
        <f t="shared" si="16"/>
        <v>4048</v>
      </c>
      <c r="Q90" s="27">
        <v>2600</v>
      </c>
      <c r="R90" s="27">
        <v>0</v>
      </c>
      <c r="S90" s="27">
        <v>0</v>
      </c>
      <c r="T90" s="27">
        <v>1448</v>
      </c>
      <c r="U90" s="30">
        <f t="shared" si="17"/>
        <v>-197</v>
      </c>
      <c r="V90" s="27">
        <v>-200</v>
      </c>
      <c r="W90" s="27">
        <v>0</v>
      </c>
      <c r="X90" s="27">
        <v>0</v>
      </c>
      <c r="Y90" s="31">
        <v>3</v>
      </c>
      <c r="Z90" s="559">
        <f t="shared" si="18"/>
        <v>95.359246171967015</v>
      </c>
      <c r="AA90" s="561">
        <f t="shared" si="19"/>
        <v>92.857142857142861</v>
      </c>
      <c r="AB90" s="563" t="str">
        <f t="shared" si="20"/>
        <v xml:space="preserve"> </v>
      </c>
      <c r="AC90" s="561" t="str">
        <f t="shared" si="21"/>
        <v xml:space="preserve"> </v>
      </c>
      <c r="AD90" s="562">
        <f t="shared" si="22"/>
        <v>100.20761245674741</v>
      </c>
    </row>
    <row r="91" spans="2:30" ht="26.25" thickBot="1" x14ac:dyDescent="0.25">
      <c r="B91" s="339" t="s">
        <v>243</v>
      </c>
      <c r="C91" s="338" t="s">
        <v>498</v>
      </c>
      <c r="D91" s="394" t="s">
        <v>213</v>
      </c>
      <c r="E91" s="35" t="s">
        <v>619</v>
      </c>
      <c r="F91" s="30">
        <f t="shared" si="14"/>
        <v>650</v>
      </c>
      <c r="G91" s="27">
        <v>650</v>
      </c>
      <c r="H91" s="27">
        <v>0</v>
      </c>
      <c r="I91" s="27">
        <v>0</v>
      </c>
      <c r="J91" s="27">
        <v>0</v>
      </c>
      <c r="K91" s="30">
        <f t="shared" si="15"/>
        <v>650</v>
      </c>
      <c r="L91" s="27">
        <v>650</v>
      </c>
      <c r="M91" s="27">
        <v>0</v>
      </c>
      <c r="N91" s="27">
        <v>0</v>
      </c>
      <c r="O91" s="27">
        <v>0</v>
      </c>
      <c r="P91" s="30">
        <f t="shared" si="16"/>
        <v>628</v>
      </c>
      <c r="Q91" s="27">
        <v>610</v>
      </c>
      <c r="R91" s="27">
        <v>18</v>
      </c>
      <c r="S91" s="27">
        <v>0</v>
      </c>
      <c r="T91" s="27">
        <v>0</v>
      </c>
      <c r="U91" s="30">
        <f t="shared" si="17"/>
        <v>-22</v>
      </c>
      <c r="V91" s="27">
        <v>-40</v>
      </c>
      <c r="W91" s="27">
        <v>18</v>
      </c>
      <c r="X91" s="27">
        <v>0</v>
      </c>
      <c r="Y91" s="31">
        <v>0</v>
      </c>
      <c r="Z91" s="559">
        <f t="shared" si="18"/>
        <v>96.615384615384613</v>
      </c>
      <c r="AA91" s="561">
        <f t="shared" si="19"/>
        <v>93.84615384615384</v>
      </c>
      <c r="AB91" s="563" t="str">
        <f t="shared" si="20"/>
        <v xml:space="preserve"> </v>
      </c>
      <c r="AC91" s="561" t="str">
        <f t="shared" si="21"/>
        <v xml:space="preserve"> </v>
      </c>
      <c r="AD91" s="562" t="str">
        <f t="shared" si="22"/>
        <v xml:space="preserve"> </v>
      </c>
    </row>
    <row r="92" spans="2:30" ht="26.25" thickBot="1" x14ac:dyDescent="0.25">
      <c r="B92" s="339" t="s">
        <v>243</v>
      </c>
      <c r="C92" s="338" t="s">
        <v>505</v>
      </c>
      <c r="D92" s="394" t="s">
        <v>213</v>
      </c>
      <c r="E92" s="35" t="s">
        <v>619</v>
      </c>
      <c r="F92" s="30">
        <f t="shared" si="14"/>
        <v>380</v>
      </c>
      <c r="G92" s="27">
        <v>380</v>
      </c>
      <c r="H92" s="27">
        <v>0</v>
      </c>
      <c r="I92" s="27">
        <v>0</v>
      </c>
      <c r="J92" s="27">
        <v>0</v>
      </c>
      <c r="K92" s="30">
        <f t="shared" si="15"/>
        <v>380</v>
      </c>
      <c r="L92" s="27">
        <v>380</v>
      </c>
      <c r="M92" s="27">
        <v>0</v>
      </c>
      <c r="N92" s="27">
        <v>0</v>
      </c>
      <c r="O92" s="27">
        <v>0</v>
      </c>
      <c r="P92" s="30">
        <f t="shared" si="16"/>
        <v>390</v>
      </c>
      <c r="Q92" s="27">
        <v>390</v>
      </c>
      <c r="R92" s="27">
        <v>0</v>
      </c>
      <c r="S92" s="27">
        <v>0</v>
      </c>
      <c r="T92" s="27">
        <v>0</v>
      </c>
      <c r="U92" s="30">
        <f t="shared" si="17"/>
        <v>10</v>
      </c>
      <c r="V92" s="27">
        <v>10</v>
      </c>
      <c r="W92" s="27">
        <v>0</v>
      </c>
      <c r="X92" s="27">
        <v>0</v>
      </c>
      <c r="Y92" s="31">
        <v>0</v>
      </c>
      <c r="Z92" s="559">
        <f t="shared" si="18"/>
        <v>102.63157894736842</v>
      </c>
      <c r="AA92" s="561">
        <f t="shared" si="19"/>
        <v>102.63157894736842</v>
      </c>
      <c r="AB92" s="563" t="str">
        <f t="shared" si="20"/>
        <v xml:space="preserve"> </v>
      </c>
      <c r="AC92" s="561" t="str">
        <f t="shared" si="21"/>
        <v xml:space="preserve"> </v>
      </c>
      <c r="AD92" s="562" t="str">
        <f t="shared" si="22"/>
        <v xml:space="preserve"> </v>
      </c>
    </row>
    <row r="93" spans="2:30" ht="26.25" thickBot="1" x14ac:dyDescent="0.25">
      <c r="B93" s="339" t="s">
        <v>243</v>
      </c>
      <c r="C93" s="338" t="s">
        <v>512</v>
      </c>
      <c r="D93" s="394" t="s">
        <v>213</v>
      </c>
      <c r="E93" s="35" t="s">
        <v>619</v>
      </c>
      <c r="F93" s="30">
        <f t="shared" si="14"/>
        <v>1450</v>
      </c>
      <c r="G93" s="27">
        <v>1450</v>
      </c>
      <c r="H93" s="27">
        <v>0</v>
      </c>
      <c r="I93" s="27">
        <v>0</v>
      </c>
      <c r="J93" s="27">
        <v>0</v>
      </c>
      <c r="K93" s="30">
        <f t="shared" si="15"/>
        <v>1450</v>
      </c>
      <c r="L93" s="27">
        <v>1450</v>
      </c>
      <c r="M93" s="27">
        <v>0</v>
      </c>
      <c r="N93" s="27">
        <v>0</v>
      </c>
      <c r="O93" s="27">
        <v>0</v>
      </c>
      <c r="P93" s="30">
        <f t="shared" si="16"/>
        <v>1200</v>
      </c>
      <c r="Q93" s="27">
        <v>1200</v>
      </c>
      <c r="R93" s="27">
        <v>0</v>
      </c>
      <c r="S93" s="27">
        <v>0</v>
      </c>
      <c r="T93" s="27">
        <v>0</v>
      </c>
      <c r="U93" s="30">
        <f t="shared" si="17"/>
        <v>-250</v>
      </c>
      <c r="V93" s="27">
        <v>-250</v>
      </c>
      <c r="W93" s="27">
        <v>0</v>
      </c>
      <c r="X93" s="27">
        <v>0</v>
      </c>
      <c r="Y93" s="31">
        <v>0</v>
      </c>
      <c r="Z93" s="559">
        <f t="shared" si="18"/>
        <v>82.758620689655174</v>
      </c>
      <c r="AA93" s="561">
        <f t="shared" si="19"/>
        <v>82.758620689655174</v>
      </c>
      <c r="AB93" s="563" t="str">
        <f t="shared" si="20"/>
        <v xml:space="preserve"> </v>
      </c>
      <c r="AC93" s="561" t="str">
        <f t="shared" si="21"/>
        <v xml:space="preserve"> </v>
      </c>
      <c r="AD93" s="562" t="str">
        <f t="shared" si="22"/>
        <v xml:space="preserve"> </v>
      </c>
    </row>
    <row r="94" spans="2:30" ht="27.75" thickBot="1" x14ac:dyDescent="0.25">
      <c r="B94" s="336" t="s">
        <v>243</v>
      </c>
      <c r="C94" s="335"/>
      <c r="D94" s="393" t="s">
        <v>213</v>
      </c>
      <c r="E94" s="333" t="s">
        <v>620</v>
      </c>
      <c r="F94" s="34">
        <f t="shared" si="14"/>
        <v>6725</v>
      </c>
      <c r="G94" s="331">
        <f>SUM(G90:G93)</f>
        <v>5280</v>
      </c>
      <c r="H94" s="331">
        <f>SUM(H90:H93)</f>
        <v>0</v>
      </c>
      <c r="I94" s="331">
        <f>SUM(I90:I93)</f>
        <v>0</v>
      </c>
      <c r="J94" s="331">
        <f>SUM(J90:J93)</f>
        <v>1445</v>
      </c>
      <c r="K94" s="34">
        <f t="shared" si="15"/>
        <v>6725</v>
      </c>
      <c r="L94" s="331">
        <f>SUM(L90:L93)</f>
        <v>5280</v>
      </c>
      <c r="M94" s="331">
        <f>SUM(M90:M93)</f>
        <v>0</v>
      </c>
      <c r="N94" s="331">
        <f>SUM(N90:N93)</f>
        <v>0</v>
      </c>
      <c r="O94" s="331">
        <f>SUM(O90:O93)</f>
        <v>1445</v>
      </c>
      <c r="P94" s="34">
        <f t="shared" si="16"/>
        <v>6266</v>
      </c>
      <c r="Q94" s="331">
        <f>SUM(Q90:Q93)</f>
        <v>4800</v>
      </c>
      <c r="R94" s="331">
        <f>SUM(R90:R93)</f>
        <v>18</v>
      </c>
      <c r="S94" s="331">
        <f>SUM(S90:S93)</f>
        <v>0</v>
      </c>
      <c r="T94" s="331">
        <f>SUM(T90:T93)</f>
        <v>1448</v>
      </c>
      <c r="U94" s="34">
        <f t="shared" si="17"/>
        <v>-459</v>
      </c>
      <c r="V94" s="331">
        <f>SUM(V90:V93)</f>
        <v>-480</v>
      </c>
      <c r="W94" s="331">
        <f>SUM(W90:W93)</f>
        <v>18</v>
      </c>
      <c r="X94" s="331">
        <f>SUM(X90:X93)</f>
        <v>0</v>
      </c>
      <c r="Y94" s="330">
        <f>SUM(Y90:Y93)</f>
        <v>3</v>
      </c>
      <c r="Z94" s="559">
        <f t="shared" si="18"/>
        <v>93.174721189591082</v>
      </c>
      <c r="AA94" s="561">
        <f t="shared" si="19"/>
        <v>90.909090909090907</v>
      </c>
      <c r="AB94" s="563" t="str">
        <f t="shared" si="20"/>
        <v xml:space="preserve"> </v>
      </c>
      <c r="AC94" s="561" t="str">
        <f t="shared" si="21"/>
        <v xml:space="preserve"> </v>
      </c>
      <c r="AD94" s="562">
        <f t="shared" si="22"/>
        <v>100.20761245674741</v>
      </c>
    </row>
    <row r="95" spans="2:30" ht="15" thickBot="1" x14ac:dyDescent="0.25">
      <c r="B95" s="339" t="s">
        <v>242</v>
      </c>
      <c r="C95" s="338" t="s">
        <v>506</v>
      </c>
      <c r="D95" s="394" t="s">
        <v>213</v>
      </c>
      <c r="E95" s="35" t="s">
        <v>241</v>
      </c>
      <c r="F95" s="30">
        <f t="shared" si="14"/>
        <v>3739</v>
      </c>
      <c r="G95" s="27">
        <v>3506</v>
      </c>
      <c r="H95" s="27">
        <v>0</v>
      </c>
      <c r="I95" s="27">
        <v>0</v>
      </c>
      <c r="J95" s="27">
        <v>233</v>
      </c>
      <c r="K95" s="30">
        <f t="shared" si="15"/>
        <v>3739</v>
      </c>
      <c r="L95" s="27">
        <v>3506</v>
      </c>
      <c r="M95" s="27">
        <v>0</v>
      </c>
      <c r="N95" s="27">
        <v>0</v>
      </c>
      <c r="O95" s="27">
        <v>233</v>
      </c>
      <c r="P95" s="30">
        <f t="shared" si="16"/>
        <v>3616</v>
      </c>
      <c r="Q95" s="27">
        <v>3330</v>
      </c>
      <c r="R95" s="27">
        <v>0</v>
      </c>
      <c r="S95" s="27">
        <v>0</v>
      </c>
      <c r="T95" s="27">
        <v>286</v>
      </c>
      <c r="U95" s="30">
        <f t="shared" si="17"/>
        <v>-123</v>
      </c>
      <c r="V95" s="27">
        <v>-176</v>
      </c>
      <c r="W95" s="27">
        <v>0</v>
      </c>
      <c r="X95" s="27">
        <v>0</v>
      </c>
      <c r="Y95" s="31">
        <v>53</v>
      </c>
      <c r="Z95" s="559">
        <f t="shared" si="18"/>
        <v>96.710350361059099</v>
      </c>
      <c r="AA95" s="561">
        <f t="shared" si="19"/>
        <v>94.980034227039354</v>
      </c>
      <c r="AB95" s="563" t="str">
        <f t="shared" si="20"/>
        <v xml:space="preserve"> </v>
      </c>
      <c r="AC95" s="561" t="str">
        <f t="shared" si="21"/>
        <v xml:space="preserve"> </v>
      </c>
      <c r="AD95" s="562">
        <f t="shared" si="22"/>
        <v>122.74678111587983</v>
      </c>
    </row>
    <row r="96" spans="2:30" ht="15" thickBot="1" x14ac:dyDescent="0.25">
      <c r="B96" s="339" t="s">
        <v>242</v>
      </c>
      <c r="C96" s="338" t="s">
        <v>505</v>
      </c>
      <c r="D96" s="394" t="s">
        <v>213</v>
      </c>
      <c r="E96" s="35" t="s">
        <v>241</v>
      </c>
      <c r="F96" s="30">
        <f t="shared" si="14"/>
        <v>539</v>
      </c>
      <c r="G96" s="27">
        <v>240</v>
      </c>
      <c r="H96" s="27">
        <v>0</v>
      </c>
      <c r="I96" s="27">
        <v>0</v>
      </c>
      <c r="J96" s="27">
        <v>299</v>
      </c>
      <c r="K96" s="30">
        <f t="shared" si="15"/>
        <v>539</v>
      </c>
      <c r="L96" s="27">
        <v>240</v>
      </c>
      <c r="M96" s="27">
        <v>0</v>
      </c>
      <c r="N96" s="27">
        <v>0</v>
      </c>
      <c r="O96" s="27">
        <v>299</v>
      </c>
      <c r="P96" s="30">
        <f t="shared" si="16"/>
        <v>528</v>
      </c>
      <c r="Q96" s="27">
        <v>229</v>
      </c>
      <c r="R96" s="27">
        <v>0</v>
      </c>
      <c r="S96" s="27">
        <v>0</v>
      </c>
      <c r="T96" s="27">
        <v>299</v>
      </c>
      <c r="U96" s="30">
        <f t="shared" si="17"/>
        <v>-11</v>
      </c>
      <c r="V96" s="27">
        <v>-11</v>
      </c>
      <c r="W96" s="27">
        <v>0</v>
      </c>
      <c r="X96" s="27">
        <v>0</v>
      </c>
      <c r="Y96" s="31">
        <v>0</v>
      </c>
      <c r="Z96" s="559">
        <f t="shared" si="18"/>
        <v>97.959183673469383</v>
      </c>
      <c r="AA96" s="561">
        <f t="shared" si="19"/>
        <v>95.416666666666671</v>
      </c>
      <c r="AB96" s="563" t="str">
        <f t="shared" si="20"/>
        <v xml:space="preserve"> </v>
      </c>
      <c r="AC96" s="561" t="str">
        <f t="shared" si="21"/>
        <v xml:space="preserve"> </v>
      </c>
      <c r="AD96" s="562">
        <f t="shared" si="22"/>
        <v>100</v>
      </c>
    </row>
    <row r="97" spans="2:30" ht="15.75" thickBot="1" x14ac:dyDescent="0.25">
      <c r="B97" s="336" t="s">
        <v>242</v>
      </c>
      <c r="C97" s="335"/>
      <c r="D97" s="393" t="s">
        <v>213</v>
      </c>
      <c r="E97" s="333" t="s">
        <v>241</v>
      </c>
      <c r="F97" s="34">
        <f t="shared" si="14"/>
        <v>4278</v>
      </c>
      <c r="G97" s="331">
        <f>SUM(G95:G96)</f>
        <v>3746</v>
      </c>
      <c r="H97" s="331">
        <f>SUM(H95:H96)</f>
        <v>0</v>
      </c>
      <c r="I97" s="331">
        <f>SUM(I95:I96)</f>
        <v>0</v>
      </c>
      <c r="J97" s="331">
        <f>SUM(J95:J96)</f>
        <v>532</v>
      </c>
      <c r="K97" s="34">
        <f t="shared" si="15"/>
        <v>4278</v>
      </c>
      <c r="L97" s="331">
        <f>SUM(L95:L96)</f>
        <v>3746</v>
      </c>
      <c r="M97" s="331">
        <f>SUM(M95:M96)</f>
        <v>0</v>
      </c>
      <c r="N97" s="331">
        <f>SUM(N95:N96)</f>
        <v>0</v>
      </c>
      <c r="O97" s="331">
        <f>SUM(O95:O96)</f>
        <v>532</v>
      </c>
      <c r="P97" s="34">
        <f t="shared" si="16"/>
        <v>4144</v>
      </c>
      <c r="Q97" s="331">
        <f>SUM(Q95:Q96)</f>
        <v>3559</v>
      </c>
      <c r="R97" s="331">
        <f>SUM(R95:R96)</f>
        <v>0</v>
      </c>
      <c r="S97" s="331">
        <f>SUM(S95:S96)</f>
        <v>0</v>
      </c>
      <c r="T97" s="331">
        <f>SUM(T95:T96)</f>
        <v>585</v>
      </c>
      <c r="U97" s="34">
        <f t="shared" si="17"/>
        <v>-134</v>
      </c>
      <c r="V97" s="331">
        <f>SUM(V95:V96)</f>
        <v>-187</v>
      </c>
      <c r="W97" s="331">
        <f>SUM(W95:W96)</f>
        <v>0</v>
      </c>
      <c r="X97" s="331">
        <f>SUM(X95:X96)</f>
        <v>0</v>
      </c>
      <c r="Y97" s="330">
        <f>SUM(Y95:Y96)</f>
        <v>53</v>
      </c>
      <c r="Z97" s="559">
        <f t="shared" si="18"/>
        <v>96.867695184665735</v>
      </c>
      <c r="AA97" s="561">
        <f t="shared" si="19"/>
        <v>95.008008542445282</v>
      </c>
      <c r="AB97" s="563" t="str">
        <f t="shared" si="20"/>
        <v xml:space="preserve"> </v>
      </c>
      <c r="AC97" s="561" t="str">
        <f t="shared" si="21"/>
        <v xml:space="preserve"> </v>
      </c>
      <c r="AD97" s="562">
        <f t="shared" si="22"/>
        <v>109.9624060150376</v>
      </c>
    </row>
    <row r="98" spans="2:30" s="416" customFormat="1" ht="15" thickBot="1" x14ac:dyDescent="0.25">
      <c r="B98" s="411" t="s">
        <v>240</v>
      </c>
      <c r="C98" s="412" t="s">
        <v>506</v>
      </c>
      <c r="D98" s="413" t="s">
        <v>213</v>
      </c>
      <c r="E98" s="414" t="s">
        <v>239</v>
      </c>
      <c r="F98" s="404">
        <f t="shared" si="14"/>
        <v>5196</v>
      </c>
      <c r="G98" s="403">
        <v>2642</v>
      </c>
      <c r="H98" s="403">
        <v>0</v>
      </c>
      <c r="I98" s="403">
        <v>0</v>
      </c>
      <c r="J98" s="403">
        <v>2554</v>
      </c>
      <c r="K98" s="404">
        <f t="shared" si="15"/>
        <v>5696</v>
      </c>
      <c r="L98" s="403">
        <f>263319/100+500</f>
        <v>3133.19</v>
      </c>
      <c r="M98" s="403">
        <f>881/100</f>
        <v>8.81</v>
      </c>
      <c r="N98" s="403">
        <v>0</v>
      </c>
      <c r="O98" s="403">
        <v>2554</v>
      </c>
      <c r="P98" s="404">
        <f t="shared" si="16"/>
        <v>5441</v>
      </c>
      <c r="Q98" s="403">
        <v>2905</v>
      </c>
      <c r="R98" s="403">
        <v>0</v>
      </c>
      <c r="S98" s="403">
        <v>0</v>
      </c>
      <c r="T98" s="403">
        <v>2536</v>
      </c>
      <c r="U98" s="404">
        <f t="shared" si="17"/>
        <v>245</v>
      </c>
      <c r="V98" s="403">
        <v>263</v>
      </c>
      <c r="W98" s="403">
        <v>0</v>
      </c>
      <c r="X98" s="403">
        <v>0</v>
      </c>
      <c r="Y98" s="415">
        <v>-18</v>
      </c>
      <c r="Z98" s="559">
        <f t="shared" si="18"/>
        <v>104.71516551193226</v>
      </c>
      <c r="AA98" s="561">
        <f t="shared" si="19"/>
        <v>109.9545798637396</v>
      </c>
      <c r="AB98" s="563" t="str">
        <f t="shared" si="20"/>
        <v xml:space="preserve"> </v>
      </c>
      <c r="AC98" s="561" t="str">
        <f t="shared" si="21"/>
        <v xml:space="preserve"> </v>
      </c>
      <c r="AD98" s="562">
        <f t="shared" si="22"/>
        <v>99.295223179326541</v>
      </c>
    </row>
    <row r="99" spans="2:30" ht="15" thickBot="1" x14ac:dyDescent="0.25">
      <c r="B99" s="339" t="s">
        <v>240</v>
      </c>
      <c r="C99" s="338" t="s">
        <v>498</v>
      </c>
      <c r="D99" s="394" t="s">
        <v>213</v>
      </c>
      <c r="E99" s="35" t="s">
        <v>239</v>
      </c>
      <c r="F99" s="30">
        <f t="shared" si="14"/>
        <v>200</v>
      </c>
      <c r="G99" s="27">
        <v>200</v>
      </c>
      <c r="H99" s="27">
        <v>0</v>
      </c>
      <c r="I99" s="27">
        <v>0</v>
      </c>
      <c r="J99" s="27">
        <v>0</v>
      </c>
      <c r="K99" s="30">
        <f t="shared" si="15"/>
        <v>200</v>
      </c>
      <c r="L99" s="27">
        <v>200</v>
      </c>
      <c r="M99" s="27">
        <v>0</v>
      </c>
      <c r="N99" s="27">
        <v>0</v>
      </c>
      <c r="O99" s="27">
        <v>0</v>
      </c>
      <c r="P99" s="30">
        <f t="shared" si="16"/>
        <v>200</v>
      </c>
      <c r="Q99" s="27">
        <v>200</v>
      </c>
      <c r="R99" s="27">
        <v>0</v>
      </c>
      <c r="S99" s="27">
        <v>0</v>
      </c>
      <c r="T99" s="27">
        <v>0</v>
      </c>
      <c r="U99" s="30">
        <f t="shared" si="17"/>
        <v>0</v>
      </c>
      <c r="V99" s="27">
        <v>0</v>
      </c>
      <c r="W99" s="27">
        <v>0</v>
      </c>
      <c r="X99" s="27">
        <v>0</v>
      </c>
      <c r="Y99" s="31">
        <v>0</v>
      </c>
      <c r="Z99" s="559">
        <f t="shared" si="18"/>
        <v>100</v>
      </c>
      <c r="AA99" s="561">
        <f t="shared" si="19"/>
        <v>100</v>
      </c>
      <c r="AB99" s="563" t="str">
        <f t="shared" si="20"/>
        <v xml:space="preserve"> </v>
      </c>
      <c r="AC99" s="561" t="str">
        <f t="shared" si="21"/>
        <v xml:space="preserve"> </v>
      </c>
      <c r="AD99" s="562" t="str">
        <f t="shared" si="22"/>
        <v xml:space="preserve"> </v>
      </c>
    </row>
    <row r="100" spans="2:30" ht="15" thickBot="1" x14ac:dyDescent="0.25">
      <c r="B100" s="339" t="s">
        <v>240</v>
      </c>
      <c r="C100" s="338" t="s">
        <v>505</v>
      </c>
      <c r="D100" s="394" t="s">
        <v>213</v>
      </c>
      <c r="E100" s="35" t="s">
        <v>239</v>
      </c>
      <c r="F100" s="30">
        <f t="shared" si="14"/>
        <v>400</v>
      </c>
      <c r="G100" s="27">
        <v>400</v>
      </c>
      <c r="H100" s="27">
        <v>0</v>
      </c>
      <c r="I100" s="27">
        <v>0</v>
      </c>
      <c r="J100" s="27">
        <v>0</v>
      </c>
      <c r="K100" s="30">
        <f t="shared" si="15"/>
        <v>400</v>
      </c>
      <c r="L100" s="27">
        <v>400</v>
      </c>
      <c r="M100" s="27">
        <v>0</v>
      </c>
      <c r="N100" s="27">
        <v>0</v>
      </c>
      <c r="O100" s="27">
        <v>0</v>
      </c>
      <c r="P100" s="30">
        <f t="shared" si="16"/>
        <v>450</v>
      </c>
      <c r="Q100" s="27">
        <v>450</v>
      </c>
      <c r="R100" s="27">
        <v>0</v>
      </c>
      <c r="S100" s="27">
        <v>0</v>
      </c>
      <c r="T100" s="27">
        <v>0</v>
      </c>
      <c r="U100" s="30">
        <f t="shared" si="17"/>
        <v>50</v>
      </c>
      <c r="V100" s="27">
        <v>50</v>
      </c>
      <c r="W100" s="27">
        <v>0</v>
      </c>
      <c r="X100" s="27">
        <v>0</v>
      </c>
      <c r="Y100" s="31">
        <v>0</v>
      </c>
      <c r="Z100" s="559">
        <f t="shared" si="18"/>
        <v>112.5</v>
      </c>
      <c r="AA100" s="561">
        <f t="shared" si="19"/>
        <v>112.5</v>
      </c>
      <c r="AB100" s="563" t="str">
        <f t="shared" si="20"/>
        <v xml:space="preserve"> </v>
      </c>
      <c r="AC100" s="561" t="str">
        <f t="shared" si="21"/>
        <v xml:space="preserve"> </v>
      </c>
      <c r="AD100" s="562" t="str">
        <f t="shared" si="22"/>
        <v xml:space="preserve"> </v>
      </c>
    </row>
    <row r="101" spans="2:30" ht="15.75" thickBot="1" x14ac:dyDescent="0.25">
      <c r="B101" s="336" t="s">
        <v>240</v>
      </c>
      <c r="C101" s="335"/>
      <c r="D101" s="393" t="s">
        <v>213</v>
      </c>
      <c r="E101" s="333" t="s">
        <v>239</v>
      </c>
      <c r="F101" s="34">
        <f t="shared" si="14"/>
        <v>5796</v>
      </c>
      <c r="G101" s="331">
        <f>SUM(G98:G100)</f>
        <v>3242</v>
      </c>
      <c r="H101" s="331">
        <f>SUM(H98:H100)</f>
        <v>0</v>
      </c>
      <c r="I101" s="331">
        <f>SUM(I98:I100)</f>
        <v>0</v>
      </c>
      <c r="J101" s="331">
        <f>SUM(J98:J100)</f>
        <v>2554</v>
      </c>
      <c r="K101" s="34">
        <f t="shared" si="15"/>
        <v>6296</v>
      </c>
      <c r="L101" s="331">
        <f>SUM(L98:L100)</f>
        <v>3733.19</v>
      </c>
      <c r="M101" s="331">
        <f>SUM(M98:M100)</f>
        <v>8.81</v>
      </c>
      <c r="N101" s="331">
        <f>SUM(N98:N100)</f>
        <v>0</v>
      </c>
      <c r="O101" s="331">
        <f>SUM(O98:O100)</f>
        <v>2554</v>
      </c>
      <c r="P101" s="34">
        <f t="shared" si="16"/>
        <v>6091</v>
      </c>
      <c r="Q101" s="331">
        <f>SUM(Q98:Q100)</f>
        <v>3555</v>
      </c>
      <c r="R101" s="331">
        <f>SUM(R98:R100)</f>
        <v>0</v>
      </c>
      <c r="S101" s="331">
        <f>SUM(S98:S100)</f>
        <v>0</v>
      </c>
      <c r="T101" s="331">
        <f>SUM(T98:T100)</f>
        <v>2536</v>
      </c>
      <c r="U101" s="34">
        <f t="shared" si="17"/>
        <v>295</v>
      </c>
      <c r="V101" s="331">
        <f>SUM(V98:V100)</f>
        <v>313</v>
      </c>
      <c r="W101" s="331">
        <f>SUM(W98:W100)</f>
        <v>0</v>
      </c>
      <c r="X101" s="331">
        <f>SUM(X98:X100)</f>
        <v>0</v>
      </c>
      <c r="Y101" s="330">
        <f>SUM(Y98:Y100)</f>
        <v>-18</v>
      </c>
      <c r="Z101" s="559">
        <f t="shared" si="18"/>
        <v>105.08971704623879</v>
      </c>
      <c r="AA101" s="561">
        <f t="shared" si="19"/>
        <v>109.65453423812461</v>
      </c>
      <c r="AB101" s="563" t="str">
        <f t="shared" si="20"/>
        <v xml:space="preserve"> </v>
      </c>
      <c r="AC101" s="561" t="str">
        <f t="shared" si="21"/>
        <v xml:space="preserve"> </v>
      </c>
      <c r="AD101" s="562">
        <f t="shared" si="22"/>
        <v>99.295223179326541</v>
      </c>
    </row>
    <row r="102" spans="2:30" ht="15" thickBot="1" x14ac:dyDescent="0.25">
      <c r="B102" s="339" t="s">
        <v>238</v>
      </c>
      <c r="C102" s="338" t="s">
        <v>511</v>
      </c>
      <c r="D102" s="394" t="s">
        <v>213</v>
      </c>
      <c r="E102" s="35" t="s">
        <v>510</v>
      </c>
      <c r="F102" s="30">
        <f t="shared" si="14"/>
        <v>3344</v>
      </c>
      <c r="G102" s="27">
        <v>2420</v>
      </c>
      <c r="H102" s="27">
        <v>0</v>
      </c>
      <c r="I102" s="27">
        <v>0</v>
      </c>
      <c r="J102" s="27">
        <v>924</v>
      </c>
      <c r="K102" s="30">
        <f t="shared" si="15"/>
        <v>3344</v>
      </c>
      <c r="L102" s="27">
        <v>2420</v>
      </c>
      <c r="M102" s="27">
        <v>0</v>
      </c>
      <c r="N102" s="27">
        <v>0</v>
      </c>
      <c r="O102" s="27">
        <v>924</v>
      </c>
      <c r="P102" s="30">
        <f t="shared" si="16"/>
        <v>3771</v>
      </c>
      <c r="Q102" s="27">
        <v>2831</v>
      </c>
      <c r="R102" s="27">
        <v>0</v>
      </c>
      <c r="S102" s="27">
        <v>0</v>
      </c>
      <c r="T102" s="27">
        <v>940</v>
      </c>
      <c r="U102" s="30">
        <f t="shared" si="17"/>
        <v>427</v>
      </c>
      <c r="V102" s="27">
        <v>411</v>
      </c>
      <c r="W102" s="27">
        <v>0</v>
      </c>
      <c r="X102" s="27">
        <v>0</v>
      </c>
      <c r="Y102" s="31">
        <v>16</v>
      </c>
      <c r="Z102" s="559">
        <f t="shared" si="18"/>
        <v>112.76913875598086</v>
      </c>
      <c r="AA102" s="561">
        <f t="shared" si="19"/>
        <v>116.98347107438016</v>
      </c>
      <c r="AB102" s="563" t="str">
        <f t="shared" si="20"/>
        <v xml:space="preserve"> </v>
      </c>
      <c r="AC102" s="561" t="str">
        <f t="shared" si="21"/>
        <v xml:space="preserve"> </v>
      </c>
      <c r="AD102" s="562">
        <f t="shared" si="22"/>
        <v>101.73160173160174</v>
      </c>
    </row>
    <row r="103" spans="2:30" ht="15" thickBot="1" x14ac:dyDescent="0.25">
      <c r="B103" s="339" t="s">
        <v>238</v>
      </c>
      <c r="C103" s="338" t="s">
        <v>506</v>
      </c>
      <c r="D103" s="394" t="s">
        <v>213</v>
      </c>
      <c r="E103" s="35" t="s">
        <v>510</v>
      </c>
      <c r="F103" s="30">
        <f t="shared" si="14"/>
        <v>805</v>
      </c>
      <c r="G103" s="27">
        <v>805</v>
      </c>
      <c r="H103" s="27">
        <v>0</v>
      </c>
      <c r="I103" s="27">
        <v>0</v>
      </c>
      <c r="J103" s="27">
        <v>0</v>
      </c>
      <c r="K103" s="30">
        <f t="shared" si="15"/>
        <v>805</v>
      </c>
      <c r="L103" s="27">
        <v>805</v>
      </c>
      <c r="M103" s="27">
        <v>0</v>
      </c>
      <c r="N103" s="27">
        <v>0</v>
      </c>
      <c r="O103" s="27">
        <v>0</v>
      </c>
      <c r="P103" s="30">
        <f t="shared" si="16"/>
        <v>650</v>
      </c>
      <c r="Q103" s="27">
        <v>650</v>
      </c>
      <c r="R103" s="27">
        <v>0</v>
      </c>
      <c r="S103" s="27">
        <v>0</v>
      </c>
      <c r="T103" s="27">
        <v>0</v>
      </c>
      <c r="U103" s="30">
        <f t="shared" si="17"/>
        <v>-155</v>
      </c>
      <c r="V103" s="27">
        <v>-155</v>
      </c>
      <c r="W103" s="27">
        <v>0</v>
      </c>
      <c r="X103" s="27">
        <v>0</v>
      </c>
      <c r="Y103" s="31">
        <v>0</v>
      </c>
      <c r="Z103" s="559">
        <f t="shared" si="18"/>
        <v>80.745341614906835</v>
      </c>
      <c r="AA103" s="561">
        <f t="shared" si="19"/>
        <v>80.745341614906835</v>
      </c>
      <c r="AB103" s="563" t="str">
        <f t="shared" si="20"/>
        <v xml:space="preserve"> </v>
      </c>
      <c r="AC103" s="561" t="str">
        <f t="shared" si="21"/>
        <v xml:space="preserve"> </v>
      </c>
      <c r="AD103" s="562" t="str">
        <f t="shared" si="22"/>
        <v xml:space="preserve"> </v>
      </c>
    </row>
    <row r="104" spans="2:30" ht="15" thickBot="1" x14ac:dyDescent="0.25">
      <c r="B104" s="339" t="s">
        <v>238</v>
      </c>
      <c r="C104" s="338" t="s">
        <v>505</v>
      </c>
      <c r="D104" s="394" t="s">
        <v>213</v>
      </c>
      <c r="E104" s="35" t="s">
        <v>510</v>
      </c>
      <c r="F104" s="30">
        <f t="shared" si="14"/>
        <v>1610</v>
      </c>
      <c r="G104" s="27">
        <v>1610</v>
      </c>
      <c r="H104" s="27">
        <v>0</v>
      </c>
      <c r="I104" s="27">
        <v>0</v>
      </c>
      <c r="J104" s="27">
        <v>0</v>
      </c>
      <c r="K104" s="30">
        <f t="shared" si="15"/>
        <v>1610</v>
      </c>
      <c r="L104" s="27">
        <v>1610</v>
      </c>
      <c r="M104" s="27">
        <v>0</v>
      </c>
      <c r="N104" s="27">
        <v>0</v>
      </c>
      <c r="O104" s="27">
        <v>0</v>
      </c>
      <c r="P104" s="30">
        <f t="shared" si="16"/>
        <v>850</v>
      </c>
      <c r="Q104" s="27">
        <v>850</v>
      </c>
      <c r="R104" s="27">
        <v>0</v>
      </c>
      <c r="S104" s="27">
        <v>0</v>
      </c>
      <c r="T104" s="27">
        <v>0</v>
      </c>
      <c r="U104" s="30">
        <f t="shared" si="17"/>
        <v>-760</v>
      </c>
      <c r="V104" s="27">
        <v>-760</v>
      </c>
      <c r="W104" s="27">
        <v>0</v>
      </c>
      <c r="X104" s="27">
        <v>0</v>
      </c>
      <c r="Y104" s="31">
        <v>0</v>
      </c>
      <c r="Z104" s="559">
        <f t="shared" si="18"/>
        <v>52.795031055900623</v>
      </c>
      <c r="AA104" s="561">
        <f t="shared" si="19"/>
        <v>52.795031055900623</v>
      </c>
      <c r="AB104" s="563" t="str">
        <f t="shared" si="20"/>
        <v xml:space="preserve"> </v>
      </c>
      <c r="AC104" s="561" t="str">
        <f t="shared" si="21"/>
        <v xml:space="preserve"> </v>
      </c>
      <c r="AD104" s="562" t="str">
        <f t="shared" si="22"/>
        <v xml:space="preserve"> </v>
      </c>
    </row>
    <row r="105" spans="2:30" ht="15.75" thickBot="1" x14ac:dyDescent="0.25">
      <c r="B105" s="336" t="s">
        <v>238</v>
      </c>
      <c r="C105" s="335"/>
      <c r="D105" s="393" t="s">
        <v>213</v>
      </c>
      <c r="E105" s="333" t="s">
        <v>510</v>
      </c>
      <c r="F105" s="34">
        <f t="shared" si="14"/>
        <v>5759</v>
      </c>
      <c r="G105" s="331">
        <f>SUM(G102:G104)</f>
        <v>4835</v>
      </c>
      <c r="H105" s="331">
        <f>SUM(H102:H104)</f>
        <v>0</v>
      </c>
      <c r="I105" s="331">
        <f>SUM(I102:I104)</f>
        <v>0</v>
      </c>
      <c r="J105" s="331">
        <f>SUM(J102:J104)</f>
        <v>924</v>
      </c>
      <c r="K105" s="34">
        <f t="shared" si="15"/>
        <v>5759</v>
      </c>
      <c r="L105" s="331">
        <f>SUM(L102:L104)</f>
        <v>4835</v>
      </c>
      <c r="M105" s="331">
        <f>SUM(M102:M104)</f>
        <v>0</v>
      </c>
      <c r="N105" s="331">
        <f>SUM(N102:N104)</f>
        <v>0</v>
      </c>
      <c r="O105" s="331">
        <f>SUM(O102:O104)</f>
        <v>924</v>
      </c>
      <c r="P105" s="34">
        <f t="shared" si="16"/>
        <v>5271</v>
      </c>
      <c r="Q105" s="331">
        <f>SUM(Q102:Q104)</f>
        <v>4331</v>
      </c>
      <c r="R105" s="331">
        <f>SUM(R102:R104)</f>
        <v>0</v>
      </c>
      <c r="S105" s="331">
        <f>SUM(S102:S104)</f>
        <v>0</v>
      </c>
      <c r="T105" s="331">
        <f>SUM(T102:T104)</f>
        <v>940</v>
      </c>
      <c r="U105" s="34">
        <f t="shared" si="17"/>
        <v>-488</v>
      </c>
      <c r="V105" s="331">
        <f>SUM(V102:V104)</f>
        <v>-504</v>
      </c>
      <c r="W105" s="331">
        <f>SUM(W102:W104)</f>
        <v>0</v>
      </c>
      <c r="X105" s="331">
        <f>SUM(X102:X104)</f>
        <v>0</v>
      </c>
      <c r="Y105" s="330">
        <f>SUM(Y102:Y104)</f>
        <v>16</v>
      </c>
      <c r="Z105" s="559">
        <f t="shared" si="18"/>
        <v>91.526306650460157</v>
      </c>
      <c r="AA105" s="561">
        <f t="shared" si="19"/>
        <v>89.576008273009307</v>
      </c>
      <c r="AB105" s="563" t="str">
        <f t="shared" si="20"/>
        <v xml:space="preserve"> </v>
      </c>
      <c r="AC105" s="561" t="str">
        <f t="shared" si="21"/>
        <v xml:space="preserve"> </v>
      </c>
      <c r="AD105" s="562">
        <f t="shared" si="22"/>
        <v>101.73160173160174</v>
      </c>
    </row>
    <row r="106" spans="2:30" ht="15" thickBot="1" x14ac:dyDescent="0.25">
      <c r="B106" s="339" t="s">
        <v>237</v>
      </c>
      <c r="C106" s="338" t="s">
        <v>506</v>
      </c>
      <c r="D106" s="394" t="s">
        <v>213</v>
      </c>
      <c r="E106" s="35" t="s">
        <v>509</v>
      </c>
      <c r="F106" s="30">
        <f t="shared" si="14"/>
        <v>9857</v>
      </c>
      <c r="G106" s="27">
        <v>6892</v>
      </c>
      <c r="H106" s="27">
        <v>0</v>
      </c>
      <c r="I106" s="27">
        <v>0</v>
      </c>
      <c r="J106" s="27">
        <v>2965</v>
      </c>
      <c r="K106" s="30">
        <f t="shared" si="15"/>
        <v>9857</v>
      </c>
      <c r="L106" s="27">
        <v>6892</v>
      </c>
      <c r="M106" s="27">
        <v>0</v>
      </c>
      <c r="N106" s="27">
        <v>0</v>
      </c>
      <c r="O106" s="27">
        <v>2965</v>
      </c>
      <c r="P106" s="30">
        <f t="shared" si="16"/>
        <v>9486</v>
      </c>
      <c r="Q106" s="27">
        <v>6530</v>
      </c>
      <c r="R106" s="27">
        <v>0</v>
      </c>
      <c r="S106" s="27">
        <v>0</v>
      </c>
      <c r="T106" s="27">
        <v>2956</v>
      </c>
      <c r="U106" s="30">
        <f t="shared" si="17"/>
        <v>-371</v>
      </c>
      <c r="V106" s="27">
        <v>-362</v>
      </c>
      <c r="W106" s="27">
        <v>0</v>
      </c>
      <c r="X106" s="27">
        <v>0</v>
      </c>
      <c r="Y106" s="31">
        <v>-9</v>
      </c>
      <c r="Z106" s="559">
        <f t="shared" si="18"/>
        <v>96.23617733590342</v>
      </c>
      <c r="AA106" s="561">
        <f t="shared" si="19"/>
        <v>94.747533372025543</v>
      </c>
      <c r="AB106" s="563" t="str">
        <f t="shared" si="20"/>
        <v xml:space="preserve"> </v>
      </c>
      <c r="AC106" s="561" t="str">
        <f t="shared" si="21"/>
        <v xml:space="preserve"> </v>
      </c>
      <c r="AD106" s="562">
        <f t="shared" si="22"/>
        <v>99.696458684654303</v>
      </c>
    </row>
    <row r="107" spans="2:30" ht="15" thickBot="1" x14ac:dyDescent="0.25">
      <c r="B107" s="339" t="s">
        <v>237</v>
      </c>
      <c r="C107" s="338" t="s">
        <v>498</v>
      </c>
      <c r="D107" s="394" t="s">
        <v>213</v>
      </c>
      <c r="E107" s="35" t="s">
        <v>509</v>
      </c>
      <c r="F107" s="30">
        <f t="shared" si="14"/>
        <v>400</v>
      </c>
      <c r="G107" s="27">
        <v>400</v>
      </c>
      <c r="H107" s="27">
        <v>0</v>
      </c>
      <c r="I107" s="27">
        <v>0</v>
      </c>
      <c r="J107" s="27">
        <v>0</v>
      </c>
      <c r="K107" s="30">
        <f t="shared" si="15"/>
        <v>400</v>
      </c>
      <c r="L107" s="27">
        <v>400</v>
      </c>
      <c r="M107" s="27">
        <v>0</v>
      </c>
      <c r="N107" s="27">
        <v>0</v>
      </c>
      <c r="O107" s="27">
        <v>0</v>
      </c>
      <c r="P107" s="30">
        <f t="shared" si="16"/>
        <v>403</v>
      </c>
      <c r="Q107" s="27">
        <v>403</v>
      </c>
      <c r="R107" s="27">
        <v>0</v>
      </c>
      <c r="S107" s="27">
        <v>0</v>
      </c>
      <c r="T107" s="27">
        <v>0</v>
      </c>
      <c r="U107" s="30">
        <f t="shared" si="17"/>
        <v>3</v>
      </c>
      <c r="V107" s="27">
        <v>3</v>
      </c>
      <c r="W107" s="27">
        <v>0</v>
      </c>
      <c r="X107" s="27">
        <v>0</v>
      </c>
      <c r="Y107" s="31">
        <v>0</v>
      </c>
      <c r="Z107" s="559">
        <f t="shared" si="18"/>
        <v>100.75</v>
      </c>
      <c r="AA107" s="561">
        <f t="shared" si="19"/>
        <v>100.75</v>
      </c>
      <c r="AB107" s="563" t="str">
        <f t="shared" si="20"/>
        <v xml:space="preserve"> </v>
      </c>
      <c r="AC107" s="561" t="str">
        <f t="shared" si="21"/>
        <v xml:space="preserve"> </v>
      </c>
      <c r="AD107" s="562" t="str">
        <f t="shared" si="22"/>
        <v xml:space="preserve"> </v>
      </c>
    </row>
    <row r="108" spans="2:30" ht="15" thickBot="1" x14ac:dyDescent="0.25">
      <c r="B108" s="339" t="s">
        <v>237</v>
      </c>
      <c r="C108" s="338" t="s">
        <v>505</v>
      </c>
      <c r="D108" s="394" t="s">
        <v>213</v>
      </c>
      <c r="E108" s="35" t="s">
        <v>509</v>
      </c>
      <c r="F108" s="30">
        <f t="shared" si="14"/>
        <v>480</v>
      </c>
      <c r="G108" s="27">
        <v>480</v>
      </c>
      <c r="H108" s="27">
        <v>0</v>
      </c>
      <c r="I108" s="27">
        <v>0</v>
      </c>
      <c r="J108" s="27">
        <v>0</v>
      </c>
      <c r="K108" s="30">
        <f t="shared" si="15"/>
        <v>480</v>
      </c>
      <c r="L108" s="27">
        <v>480</v>
      </c>
      <c r="M108" s="27">
        <v>0</v>
      </c>
      <c r="N108" s="27">
        <v>0</v>
      </c>
      <c r="O108" s="27">
        <v>0</v>
      </c>
      <c r="P108" s="30">
        <f t="shared" si="16"/>
        <v>450</v>
      </c>
      <c r="Q108" s="27">
        <v>450</v>
      </c>
      <c r="R108" s="27">
        <v>0</v>
      </c>
      <c r="S108" s="27">
        <v>0</v>
      </c>
      <c r="T108" s="27">
        <v>0</v>
      </c>
      <c r="U108" s="30">
        <f t="shared" si="17"/>
        <v>-30</v>
      </c>
      <c r="V108" s="27">
        <v>-30</v>
      </c>
      <c r="W108" s="27">
        <v>0</v>
      </c>
      <c r="X108" s="27">
        <v>0</v>
      </c>
      <c r="Y108" s="31">
        <v>0</v>
      </c>
      <c r="Z108" s="559">
        <f t="shared" si="18"/>
        <v>93.75</v>
      </c>
      <c r="AA108" s="561">
        <f t="shared" si="19"/>
        <v>93.75</v>
      </c>
      <c r="AB108" s="563" t="str">
        <f t="shared" si="20"/>
        <v xml:space="preserve"> </v>
      </c>
      <c r="AC108" s="561" t="str">
        <f t="shared" si="21"/>
        <v xml:space="preserve"> </v>
      </c>
      <c r="AD108" s="562" t="str">
        <f t="shared" si="22"/>
        <v xml:space="preserve"> </v>
      </c>
    </row>
    <row r="109" spans="2:30" ht="15.75" thickBot="1" x14ac:dyDescent="0.25">
      <c r="B109" s="336" t="s">
        <v>237</v>
      </c>
      <c r="C109" s="335"/>
      <c r="D109" s="393" t="s">
        <v>213</v>
      </c>
      <c r="E109" s="333" t="s">
        <v>509</v>
      </c>
      <c r="F109" s="34">
        <f t="shared" si="14"/>
        <v>10737</v>
      </c>
      <c r="G109" s="331">
        <f>SUM(G106:G108)</f>
        <v>7772</v>
      </c>
      <c r="H109" s="331">
        <f>SUM(H106:H108)</f>
        <v>0</v>
      </c>
      <c r="I109" s="331">
        <f>SUM(I106:I108)</f>
        <v>0</v>
      </c>
      <c r="J109" s="331">
        <f>SUM(J106:J108)</f>
        <v>2965</v>
      </c>
      <c r="K109" s="34">
        <f t="shared" si="15"/>
        <v>10737</v>
      </c>
      <c r="L109" s="331">
        <f>SUM(L106:L108)</f>
        <v>7772</v>
      </c>
      <c r="M109" s="331">
        <f>SUM(M106:M108)</f>
        <v>0</v>
      </c>
      <c r="N109" s="331">
        <f>SUM(N106:N108)</f>
        <v>0</v>
      </c>
      <c r="O109" s="331">
        <f>SUM(O106:O108)</f>
        <v>2965</v>
      </c>
      <c r="P109" s="34">
        <f t="shared" si="16"/>
        <v>10339</v>
      </c>
      <c r="Q109" s="331">
        <f>SUM(Q106:Q108)</f>
        <v>7383</v>
      </c>
      <c r="R109" s="331">
        <f>SUM(R106:R108)</f>
        <v>0</v>
      </c>
      <c r="S109" s="331">
        <f>SUM(S106:S108)</f>
        <v>0</v>
      </c>
      <c r="T109" s="331">
        <f>SUM(T106:T108)</f>
        <v>2956</v>
      </c>
      <c r="U109" s="34">
        <f t="shared" si="17"/>
        <v>-398</v>
      </c>
      <c r="V109" s="331">
        <f>SUM(V106:V108)</f>
        <v>-389</v>
      </c>
      <c r="W109" s="331">
        <f>SUM(W106:W108)</f>
        <v>0</v>
      </c>
      <c r="X109" s="331">
        <f>SUM(X106:X108)</f>
        <v>0</v>
      </c>
      <c r="Y109" s="330">
        <f>SUM(Y106:Y108)</f>
        <v>-9</v>
      </c>
      <c r="Z109" s="559">
        <f t="shared" si="18"/>
        <v>96.293191766787743</v>
      </c>
      <c r="AA109" s="561">
        <f t="shared" si="19"/>
        <v>94.99485331960885</v>
      </c>
      <c r="AB109" s="563" t="str">
        <f t="shared" si="20"/>
        <v xml:space="preserve"> </v>
      </c>
      <c r="AC109" s="561" t="str">
        <f t="shared" si="21"/>
        <v xml:space="preserve"> </v>
      </c>
      <c r="AD109" s="562">
        <f t="shared" si="22"/>
        <v>99.696458684654303</v>
      </c>
    </row>
    <row r="110" spans="2:30" ht="15" thickBot="1" x14ac:dyDescent="0.25">
      <c r="B110" s="339" t="s">
        <v>236</v>
      </c>
      <c r="C110" s="338" t="s">
        <v>506</v>
      </c>
      <c r="D110" s="394" t="s">
        <v>213</v>
      </c>
      <c r="E110" s="35" t="s">
        <v>508</v>
      </c>
      <c r="F110" s="30">
        <f t="shared" ref="F110:F141" si="23">SUM(G110:J110)</f>
        <v>4845</v>
      </c>
      <c r="G110" s="27">
        <v>3851</v>
      </c>
      <c r="H110" s="27">
        <v>0</v>
      </c>
      <c r="I110" s="27">
        <v>0</v>
      </c>
      <c r="J110" s="27">
        <v>994</v>
      </c>
      <c r="K110" s="30">
        <f t="shared" ref="K110:K141" si="24">SUM(L110:O110)</f>
        <v>4845</v>
      </c>
      <c r="L110" s="27">
        <v>3851</v>
      </c>
      <c r="M110" s="27">
        <v>0</v>
      </c>
      <c r="N110" s="27">
        <v>0</v>
      </c>
      <c r="O110" s="27">
        <v>994</v>
      </c>
      <c r="P110" s="30">
        <f t="shared" ref="P110:P141" si="25">SUM(Q110:T110)</f>
        <v>4548</v>
      </c>
      <c r="Q110" s="27">
        <v>3658</v>
      </c>
      <c r="R110" s="27">
        <v>0</v>
      </c>
      <c r="S110" s="27">
        <v>0</v>
      </c>
      <c r="T110" s="27">
        <v>890</v>
      </c>
      <c r="U110" s="30">
        <f t="shared" ref="U110:U141" si="26">SUM(V110:Y110)</f>
        <v>-297</v>
      </c>
      <c r="V110" s="27">
        <v>-193</v>
      </c>
      <c r="W110" s="27">
        <v>0</v>
      </c>
      <c r="X110" s="27">
        <v>0</v>
      </c>
      <c r="Y110" s="31">
        <v>-104</v>
      </c>
      <c r="Z110" s="559">
        <f t="shared" si="18"/>
        <v>93.869969040247682</v>
      </c>
      <c r="AA110" s="561">
        <f t="shared" si="19"/>
        <v>94.988314723448454</v>
      </c>
      <c r="AB110" s="563" t="str">
        <f t="shared" si="20"/>
        <v xml:space="preserve"> </v>
      </c>
      <c r="AC110" s="561" t="str">
        <f t="shared" si="21"/>
        <v xml:space="preserve"> </v>
      </c>
      <c r="AD110" s="562">
        <f t="shared" si="22"/>
        <v>89.537223340040242</v>
      </c>
    </row>
    <row r="111" spans="2:30" ht="15" thickBot="1" x14ac:dyDescent="0.25">
      <c r="B111" s="339" t="s">
        <v>236</v>
      </c>
      <c r="C111" s="338" t="s">
        <v>498</v>
      </c>
      <c r="D111" s="394" t="s">
        <v>213</v>
      </c>
      <c r="E111" s="35" t="s">
        <v>508</v>
      </c>
      <c r="F111" s="30">
        <f t="shared" si="23"/>
        <v>240</v>
      </c>
      <c r="G111" s="27">
        <v>240</v>
      </c>
      <c r="H111" s="27">
        <v>0</v>
      </c>
      <c r="I111" s="27">
        <v>0</v>
      </c>
      <c r="J111" s="27">
        <v>0</v>
      </c>
      <c r="K111" s="30">
        <f t="shared" si="24"/>
        <v>240</v>
      </c>
      <c r="L111" s="27">
        <v>240</v>
      </c>
      <c r="M111" s="27">
        <v>0</v>
      </c>
      <c r="N111" s="27">
        <v>0</v>
      </c>
      <c r="O111" s="27">
        <v>0</v>
      </c>
      <c r="P111" s="30">
        <f t="shared" si="25"/>
        <v>228</v>
      </c>
      <c r="Q111" s="27">
        <v>228</v>
      </c>
      <c r="R111" s="27">
        <v>0</v>
      </c>
      <c r="S111" s="27">
        <v>0</v>
      </c>
      <c r="T111" s="27">
        <v>0</v>
      </c>
      <c r="U111" s="30">
        <f t="shared" si="26"/>
        <v>-12</v>
      </c>
      <c r="V111" s="27">
        <v>-12</v>
      </c>
      <c r="W111" s="27">
        <v>0</v>
      </c>
      <c r="X111" s="27">
        <v>0</v>
      </c>
      <c r="Y111" s="31">
        <v>0</v>
      </c>
      <c r="Z111" s="559">
        <f t="shared" si="18"/>
        <v>95</v>
      </c>
      <c r="AA111" s="561">
        <f t="shared" si="19"/>
        <v>95</v>
      </c>
      <c r="AB111" s="563" t="str">
        <f t="shared" si="20"/>
        <v xml:space="preserve"> </v>
      </c>
      <c r="AC111" s="561" t="str">
        <f t="shared" si="21"/>
        <v xml:space="preserve"> </v>
      </c>
      <c r="AD111" s="562" t="str">
        <f t="shared" si="22"/>
        <v xml:space="preserve"> </v>
      </c>
    </row>
    <row r="112" spans="2:30" ht="26.25" thickBot="1" x14ac:dyDescent="0.25">
      <c r="B112" s="336" t="s">
        <v>236</v>
      </c>
      <c r="C112" s="335"/>
      <c r="D112" s="393" t="s">
        <v>213</v>
      </c>
      <c r="E112" s="333" t="s">
        <v>508</v>
      </c>
      <c r="F112" s="34">
        <f t="shared" si="23"/>
        <v>5085</v>
      </c>
      <c r="G112" s="331">
        <f>SUM(G110:G111)</f>
        <v>4091</v>
      </c>
      <c r="H112" s="331">
        <f>SUM(H110:H111)</f>
        <v>0</v>
      </c>
      <c r="I112" s="331">
        <f>SUM(I110:I111)</f>
        <v>0</v>
      </c>
      <c r="J112" s="331">
        <f>SUM(J110:J111)</f>
        <v>994</v>
      </c>
      <c r="K112" s="34">
        <f t="shared" si="24"/>
        <v>5085</v>
      </c>
      <c r="L112" s="331">
        <f>SUM(L110:L111)</f>
        <v>4091</v>
      </c>
      <c r="M112" s="331">
        <f>SUM(M110:M111)</f>
        <v>0</v>
      </c>
      <c r="N112" s="331">
        <f>SUM(N110:N111)</f>
        <v>0</v>
      </c>
      <c r="O112" s="331">
        <f>SUM(O110:O111)</f>
        <v>994</v>
      </c>
      <c r="P112" s="34">
        <f t="shared" si="25"/>
        <v>4776</v>
      </c>
      <c r="Q112" s="331">
        <f>SUM(Q110:Q111)</f>
        <v>3886</v>
      </c>
      <c r="R112" s="331">
        <f>SUM(R110:R111)</f>
        <v>0</v>
      </c>
      <c r="S112" s="331">
        <f>SUM(S110:S111)</f>
        <v>0</v>
      </c>
      <c r="T112" s="331">
        <f>SUM(T110:T111)</f>
        <v>890</v>
      </c>
      <c r="U112" s="34">
        <f t="shared" si="26"/>
        <v>-309</v>
      </c>
      <c r="V112" s="331">
        <f>SUM(V110:V111)</f>
        <v>-205</v>
      </c>
      <c r="W112" s="331">
        <f>SUM(W110:W111)</f>
        <v>0</v>
      </c>
      <c r="X112" s="331">
        <f>SUM(X110:X111)</f>
        <v>0</v>
      </c>
      <c r="Y112" s="330">
        <f>SUM(Y110:Y111)</f>
        <v>-104</v>
      </c>
      <c r="Z112" s="559">
        <f t="shared" si="18"/>
        <v>93.923303834808252</v>
      </c>
      <c r="AA112" s="561">
        <f t="shared" si="19"/>
        <v>94.989000244439012</v>
      </c>
      <c r="AB112" s="563" t="str">
        <f t="shared" si="20"/>
        <v xml:space="preserve"> </v>
      </c>
      <c r="AC112" s="561" t="str">
        <f t="shared" si="21"/>
        <v xml:space="preserve"> </v>
      </c>
      <c r="AD112" s="562">
        <f t="shared" si="22"/>
        <v>89.537223340040242</v>
      </c>
    </row>
    <row r="113" spans="2:30" ht="15" thickBot="1" x14ac:dyDescent="0.25">
      <c r="B113" s="339" t="s">
        <v>235</v>
      </c>
      <c r="C113" s="338" t="s">
        <v>506</v>
      </c>
      <c r="D113" s="394" t="s">
        <v>213</v>
      </c>
      <c r="E113" s="35" t="s">
        <v>507</v>
      </c>
      <c r="F113" s="30">
        <f t="shared" si="23"/>
        <v>3562</v>
      </c>
      <c r="G113" s="27">
        <v>3307</v>
      </c>
      <c r="H113" s="27">
        <v>30</v>
      </c>
      <c r="I113" s="27">
        <v>0</v>
      </c>
      <c r="J113" s="27">
        <v>225</v>
      </c>
      <c r="K113" s="30">
        <f t="shared" si="24"/>
        <v>3562</v>
      </c>
      <c r="L113" s="27">
        <v>3307</v>
      </c>
      <c r="M113" s="27">
        <v>30</v>
      </c>
      <c r="N113" s="27">
        <v>0</v>
      </c>
      <c r="O113" s="27">
        <v>225</v>
      </c>
      <c r="P113" s="30">
        <f t="shared" si="25"/>
        <v>3357</v>
      </c>
      <c r="Q113" s="27">
        <v>3122</v>
      </c>
      <c r="R113" s="27">
        <v>0</v>
      </c>
      <c r="S113" s="27">
        <v>0</v>
      </c>
      <c r="T113" s="27">
        <v>235</v>
      </c>
      <c r="U113" s="30">
        <f t="shared" si="26"/>
        <v>-205</v>
      </c>
      <c r="V113" s="27">
        <v>-185</v>
      </c>
      <c r="W113" s="27">
        <v>-30</v>
      </c>
      <c r="X113" s="27">
        <v>0</v>
      </c>
      <c r="Y113" s="31">
        <v>10</v>
      </c>
      <c r="Z113" s="559">
        <f t="shared" si="18"/>
        <v>94.244806288601907</v>
      </c>
      <c r="AA113" s="561">
        <f t="shared" si="19"/>
        <v>94.40580586634411</v>
      </c>
      <c r="AB113" s="563" t="str">
        <f t="shared" si="20"/>
        <v xml:space="preserve"> </v>
      </c>
      <c r="AC113" s="561" t="str">
        <f t="shared" si="21"/>
        <v xml:space="preserve"> </v>
      </c>
      <c r="AD113" s="562">
        <f t="shared" si="22"/>
        <v>104.44444444444446</v>
      </c>
    </row>
    <row r="114" spans="2:30" ht="15" thickBot="1" x14ac:dyDescent="0.25">
      <c r="B114" s="339" t="s">
        <v>235</v>
      </c>
      <c r="C114" s="338" t="s">
        <v>498</v>
      </c>
      <c r="D114" s="394" t="s">
        <v>213</v>
      </c>
      <c r="E114" s="35" t="s">
        <v>507</v>
      </c>
      <c r="F114" s="30">
        <f t="shared" si="23"/>
        <v>400</v>
      </c>
      <c r="G114" s="27">
        <v>400</v>
      </c>
      <c r="H114" s="27">
        <v>0</v>
      </c>
      <c r="I114" s="27">
        <v>0</v>
      </c>
      <c r="J114" s="27">
        <v>0</v>
      </c>
      <c r="K114" s="30">
        <f t="shared" si="24"/>
        <v>400</v>
      </c>
      <c r="L114" s="27">
        <v>400</v>
      </c>
      <c r="M114" s="27">
        <v>0</v>
      </c>
      <c r="N114" s="27">
        <v>0</v>
      </c>
      <c r="O114" s="27">
        <v>0</v>
      </c>
      <c r="P114" s="30">
        <f t="shared" si="25"/>
        <v>430</v>
      </c>
      <c r="Q114" s="27">
        <v>400</v>
      </c>
      <c r="R114" s="27">
        <v>30</v>
      </c>
      <c r="S114" s="27">
        <v>0</v>
      </c>
      <c r="T114" s="27">
        <v>0</v>
      </c>
      <c r="U114" s="30">
        <f t="shared" si="26"/>
        <v>30</v>
      </c>
      <c r="V114" s="27">
        <v>0</v>
      </c>
      <c r="W114" s="27">
        <v>30</v>
      </c>
      <c r="X114" s="27">
        <v>0</v>
      </c>
      <c r="Y114" s="31">
        <v>0</v>
      </c>
      <c r="Z114" s="559">
        <f t="shared" si="18"/>
        <v>107.5</v>
      </c>
      <c r="AA114" s="561">
        <f t="shared" si="19"/>
        <v>100</v>
      </c>
      <c r="AB114" s="563" t="str">
        <f t="shared" si="20"/>
        <v xml:space="preserve"> </v>
      </c>
      <c r="AC114" s="561" t="str">
        <f t="shared" si="21"/>
        <v xml:space="preserve"> </v>
      </c>
      <c r="AD114" s="562" t="str">
        <f t="shared" si="22"/>
        <v xml:space="preserve"> </v>
      </c>
    </row>
    <row r="115" spans="2:30" ht="15.75" thickBot="1" x14ac:dyDescent="0.25">
      <c r="B115" s="336" t="s">
        <v>235</v>
      </c>
      <c r="C115" s="335"/>
      <c r="D115" s="393" t="s">
        <v>213</v>
      </c>
      <c r="E115" s="333" t="s">
        <v>507</v>
      </c>
      <c r="F115" s="34">
        <f t="shared" si="23"/>
        <v>3962</v>
      </c>
      <c r="G115" s="331">
        <f>SUM(G113:G114)</f>
        <v>3707</v>
      </c>
      <c r="H115" s="331">
        <f>SUM(H113:H114)</f>
        <v>30</v>
      </c>
      <c r="I115" s="331">
        <f>SUM(I113:I114)</f>
        <v>0</v>
      </c>
      <c r="J115" s="331">
        <f>SUM(J113:J114)</f>
        <v>225</v>
      </c>
      <c r="K115" s="34">
        <f t="shared" si="24"/>
        <v>3962</v>
      </c>
      <c r="L115" s="331">
        <f>SUM(L113:L114)</f>
        <v>3707</v>
      </c>
      <c r="M115" s="331">
        <f>SUM(M113:M114)</f>
        <v>30</v>
      </c>
      <c r="N115" s="331">
        <f>SUM(N113:N114)</f>
        <v>0</v>
      </c>
      <c r="O115" s="331">
        <f>SUM(O113:O114)</f>
        <v>225</v>
      </c>
      <c r="P115" s="34">
        <f t="shared" si="25"/>
        <v>3787</v>
      </c>
      <c r="Q115" s="331">
        <f>SUM(Q113:Q114)</f>
        <v>3522</v>
      </c>
      <c r="R115" s="331">
        <f>SUM(R113:R114)</f>
        <v>30</v>
      </c>
      <c r="S115" s="331">
        <f>SUM(S113:S114)</f>
        <v>0</v>
      </c>
      <c r="T115" s="331">
        <f>SUM(T113:T114)</f>
        <v>235</v>
      </c>
      <c r="U115" s="34">
        <f t="shared" si="26"/>
        <v>-175</v>
      </c>
      <c r="V115" s="331">
        <f>SUM(V113:V114)</f>
        <v>-185</v>
      </c>
      <c r="W115" s="331">
        <f>SUM(W113:W114)</f>
        <v>0</v>
      </c>
      <c r="X115" s="331">
        <f>SUM(X113:X114)</f>
        <v>0</v>
      </c>
      <c r="Y115" s="330">
        <f>SUM(Y113:Y114)</f>
        <v>10</v>
      </c>
      <c r="Z115" s="559">
        <f t="shared" si="18"/>
        <v>95.583038869257948</v>
      </c>
      <c r="AA115" s="561">
        <f t="shared" si="19"/>
        <v>95.009441596978689</v>
      </c>
      <c r="AB115" s="563">
        <f t="shared" si="20"/>
        <v>100</v>
      </c>
      <c r="AC115" s="561" t="str">
        <f t="shared" si="21"/>
        <v xml:space="preserve"> </v>
      </c>
      <c r="AD115" s="562">
        <f t="shared" si="22"/>
        <v>104.44444444444446</v>
      </c>
    </row>
    <row r="116" spans="2:30" ht="15" thickBot="1" x14ac:dyDescent="0.25">
      <c r="B116" s="339" t="s">
        <v>234</v>
      </c>
      <c r="C116" s="338" t="s">
        <v>506</v>
      </c>
      <c r="D116" s="394" t="s">
        <v>213</v>
      </c>
      <c r="E116" s="35" t="s">
        <v>233</v>
      </c>
      <c r="F116" s="30">
        <f t="shared" si="23"/>
        <v>3343</v>
      </c>
      <c r="G116" s="27">
        <v>2585</v>
      </c>
      <c r="H116" s="27">
        <v>0</v>
      </c>
      <c r="I116" s="27">
        <v>0</v>
      </c>
      <c r="J116" s="27">
        <v>758</v>
      </c>
      <c r="K116" s="30">
        <f t="shared" si="24"/>
        <v>3343</v>
      </c>
      <c r="L116" s="27">
        <v>2585</v>
      </c>
      <c r="M116" s="27">
        <v>0</v>
      </c>
      <c r="N116" s="27">
        <v>0</v>
      </c>
      <c r="O116" s="27">
        <v>758</v>
      </c>
      <c r="P116" s="30">
        <f t="shared" si="25"/>
        <v>3228</v>
      </c>
      <c r="Q116" s="27">
        <v>2476</v>
      </c>
      <c r="R116" s="27">
        <v>0</v>
      </c>
      <c r="S116" s="27">
        <v>0</v>
      </c>
      <c r="T116" s="27">
        <v>752</v>
      </c>
      <c r="U116" s="30">
        <f t="shared" si="26"/>
        <v>-115</v>
      </c>
      <c r="V116" s="27">
        <v>-109</v>
      </c>
      <c r="W116" s="27">
        <v>0</v>
      </c>
      <c r="X116" s="27">
        <v>0</v>
      </c>
      <c r="Y116" s="31">
        <v>-6</v>
      </c>
      <c r="Z116" s="559">
        <f t="shared" si="18"/>
        <v>96.559976069398743</v>
      </c>
      <c r="AA116" s="561">
        <f t="shared" si="19"/>
        <v>95.783365570599614</v>
      </c>
      <c r="AB116" s="563" t="str">
        <f t="shared" si="20"/>
        <v xml:space="preserve"> </v>
      </c>
      <c r="AC116" s="561" t="str">
        <f t="shared" si="21"/>
        <v xml:space="preserve"> </v>
      </c>
      <c r="AD116" s="562">
        <f t="shared" si="22"/>
        <v>99.208443271767806</v>
      </c>
    </row>
    <row r="117" spans="2:30" ht="15" thickBot="1" x14ac:dyDescent="0.25">
      <c r="B117" s="339" t="s">
        <v>234</v>
      </c>
      <c r="C117" s="338" t="s">
        <v>498</v>
      </c>
      <c r="D117" s="394" t="s">
        <v>213</v>
      </c>
      <c r="E117" s="35" t="s">
        <v>233</v>
      </c>
      <c r="F117" s="30">
        <f t="shared" si="23"/>
        <v>73</v>
      </c>
      <c r="G117" s="27">
        <v>67</v>
      </c>
      <c r="H117" s="27">
        <v>0</v>
      </c>
      <c r="I117" s="27">
        <v>0</v>
      </c>
      <c r="J117" s="27">
        <v>6</v>
      </c>
      <c r="K117" s="30">
        <f t="shared" si="24"/>
        <v>73</v>
      </c>
      <c r="L117" s="27">
        <v>67</v>
      </c>
      <c r="M117" s="27">
        <v>0</v>
      </c>
      <c r="N117" s="27">
        <v>0</v>
      </c>
      <c r="O117" s="27">
        <v>6</v>
      </c>
      <c r="P117" s="30">
        <f t="shared" si="25"/>
        <v>73</v>
      </c>
      <c r="Q117" s="27">
        <v>67</v>
      </c>
      <c r="R117" s="27">
        <v>0</v>
      </c>
      <c r="S117" s="27">
        <v>0</v>
      </c>
      <c r="T117" s="27">
        <v>6</v>
      </c>
      <c r="U117" s="30">
        <f t="shared" si="26"/>
        <v>0</v>
      </c>
      <c r="V117" s="27">
        <v>0</v>
      </c>
      <c r="W117" s="27">
        <v>0</v>
      </c>
      <c r="X117" s="27">
        <v>0</v>
      </c>
      <c r="Y117" s="31">
        <v>0</v>
      </c>
      <c r="Z117" s="559">
        <f t="shared" si="18"/>
        <v>100</v>
      </c>
      <c r="AA117" s="561">
        <f t="shared" si="19"/>
        <v>100</v>
      </c>
      <c r="AB117" s="563" t="str">
        <f t="shared" si="20"/>
        <v xml:space="preserve"> </v>
      </c>
      <c r="AC117" s="561" t="str">
        <f t="shared" si="21"/>
        <v xml:space="preserve"> </v>
      </c>
      <c r="AD117" s="562">
        <f t="shared" si="22"/>
        <v>100</v>
      </c>
    </row>
    <row r="118" spans="2:30" ht="15" thickBot="1" x14ac:dyDescent="0.25">
      <c r="B118" s="339" t="s">
        <v>234</v>
      </c>
      <c r="C118" s="338" t="s">
        <v>505</v>
      </c>
      <c r="D118" s="394" t="s">
        <v>213</v>
      </c>
      <c r="E118" s="35" t="s">
        <v>233</v>
      </c>
      <c r="F118" s="30">
        <f t="shared" si="23"/>
        <v>724</v>
      </c>
      <c r="G118" s="27">
        <v>608</v>
      </c>
      <c r="H118" s="27">
        <v>0</v>
      </c>
      <c r="I118" s="27">
        <v>0</v>
      </c>
      <c r="J118" s="27">
        <v>116</v>
      </c>
      <c r="K118" s="30">
        <f t="shared" si="24"/>
        <v>724</v>
      </c>
      <c r="L118" s="27">
        <v>608</v>
      </c>
      <c r="M118" s="27">
        <v>0</v>
      </c>
      <c r="N118" s="27">
        <v>0</v>
      </c>
      <c r="O118" s="27">
        <v>116</v>
      </c>
      <c r="P118" s="30">
        <f t="shared" si="25"/>
        <v>670</v>
      </c>
      <c r="Q118" s="27">
        <v>554</v>
      </c>
      <c r="R118" s="27">
        <v>0</v>
      </c>
      <c r="S118" s="27">
        <v>0</v>
      </c>
      <c r="T118" s="27">
        <v>116</v>
      </c>
      <c r="U118" s="30">
        <f t="shared" si="26"/>
        <v>-54</v>
      </c>
      <c r="V118" s="27">
        <v>-54</v>
      </c>
      <c r="W118" s="27">
        <v>0</v>
      </c>
      <c r="X118" s="27">
        <v>0</v>
      </c>
      <c r="Y118" s="31">
        <v>0</v>
      </c>
      <c r="Z118" s="559">
        <f t="shared" si="18"/>
        <v>92.541436464088406</v>
      </c>
      <c r="AA118" s="561">
        <f t="shared" si="19"/>
        <v>91.118421052631575</v>
      </c>
      <c r="AB118" s="563" t="str">
        <f t="shared" si="20"/>
        <v xml:space="preserve"> </v>
      </c>
      <c r="AC118" s="561" t="str">
        <f t="shared" si="21"/>
        <v xml:space="preserve"> </v>
      </c>
      <c r="AD118" s="562">
        <f t="shared" si="22"/>
        <v>100</v>
      </c>
    </row>
    <row r="119" spans="2:30" ht="15.75" thickBot="1" x14ac:dyDescent="0.25">
      <c r="B119" s="336" t="s">
        <v>234</v>
      </c>
      <c r="C119" s="335"/>
      <c r="D119" s="393" t="s">
        <v>213</v>
      </c>
      <c r="E119" s="333" t="s">
        <v>233</v>
      </c>
      <c r="F119" s="34">
        <f t="shared" si="23"/>
        <v>4140</v>
      </c>
      <c r="G119" s="331">
        <f>SUM(G116:G118)</f>
        <v>3260</v>
      </c>
      <c r="H119" s="331">
        <f>SUM(H116:H118)</f>
        <v>0</v>
      </c>
      <c r="I119" s="331">
        <f>SUM(I116:I118)</f>
        <v>0</v>
      </c>
      <c r="J119" s="331">
        <f>SUM(J116:J118)</f>
        <v>880</v>
      </c>
      <c r="K119" s="34">
        <f t="shared" si="24"/>
        <v>4140</v>
      </c>
      <c r="L119" s="331">
        <f>SUM(L116:L118)</f>
        <v>3260</v>
      </c>
      <c r="M119" s="331">
        <f>SUM(M116:M118)</f>
        <v>0</v>
      </c>
      <c r="N119" s="331">
        <f>SUM(N116:N118)</f>
        <v>0</v>
      </c>
      <c r="O119" s="331">
        <f>SUM(O116:O118)</f>
        <v>880</v>
      </c>
      <c r="P119" s="34">
        <f t="shared" si="25"/>
        <v>3971</v>
      </c>
      <c r="Q119" s="331">
        <f>SUM(Q116:Q118)</f>
        <v>3097</v>
      </c>
      <c r="R119" s="331">
        <f>SUM(R116:R118)</f>
        <v>0</v>
      </c>
      <c r="S119" s="331">
        <f>SUM(S116:S118)</f>
        <v>0</v>
      </c>
      <c r="T119" s="331">
        <f>SUM(T116:T118)</f>
        <v>874</v>
      </c>
      <c r="U119" s="34">
        <f t="shared" si="26"/>
        <v>-169</v>
      </c>
      <c r="V119" s="331">
        <f>SUM(V116:V118)</f>
        <v>-163</v>
      </c>
      <c r="W119" s="331">
        <f>SUM(W116:W118)</f>
        <v>0</v>
      </c>
      <c r="X119" s="331">
        <f>SUM(X116:X118)</f>
        <v>0</v>
      </c>
      <c r="Y119" s="330">
        <f>SUM(Y116:Y118)</f>
        <v>-6</v>
      </c>
      <c r="Z119" s="559">
        <f t="shared" si="18"/>
        <v>95.917874396135261</v>
      </c>
      <c r="AA119" s="561">
        <f t="shared" si="19"/>
        <v>95</v>
      </c>
      <c r="AB119" s="563" t="str">
        <f t="shared" si="20"/>
        <v xml:space="preserve"> </v>
      </c>
      <c r="AC119" s="561" t="str">
        <f t="shared" si="21"/>
        <v xml:space="preserve"> </v>
      </c>
      <c r="AD119" s="562">
        <f t="shared" si="22"/>
        <v>99.318181818181813</v>
      </c>
    </row>
    <row r="120" spans="2:30" ht="15" thickBot="1" x14ac:dyDescent="0.25">
      <c r="B120" s="339" t="s">
        <v>232</v>
      </c>
      <c r="C120" s="338" t="s">
        <v>506</v>
      </c>
      <c r="D120" s="394" t="s">
        <v>213</v>
      </c>
      <c r="E120" s="35" t="s">
        <v>231</v>
      </c>
      <c r="F120" s="30">
        <f t="shared" si="23"/>
        <v>4423</v>
      </c>
      <c r="G120" s="27">
        <v>4091</v>
      </c>
      <c r="H120" s="27">
        <v>0</v>
      </c>
      <c r="I120" s="27">
        <v>0</v>
      </c>
      <c r="J120" s="27">
        <v>332</v>
      </c>
      <c r="K120" s="30">
        <f t="shared" si="24"/>
        <v>4423</v>
      </c>
      <c r="L120" s="27">
        <v>4091</v>
      </c>
      <c r="M120" s="27">
        <v>0</v>
      </c>
      <c r="N120" s="27">
        <v>0</v>
      </c>
      <c r="O120" s="27">
        <v>332</v>
      </c>
      <c r="P120" s="30">
        <f t="shared" si="25"/>
        <v>4132</v>
      </c>
      <c r="Q120" s="27">
        <v>3700</v>
      </c>
      <c r="R120" s="27">
        <v>0</v>
      </c>
      <c r="S120" s="27">
        <v>0</v>
      </c>
      <c r="T120" s="27">
        <v>432</v>
      </c>
      <c r="U120" s="30">
        <f t="shared" si="26"/>
        <v>-291</v>
      </c>
      <c r="V120" s="27">
        <v>-391</v>
      </c>
      <c r="W120" s="27">
        <v>0</v>
      </c>
      <c r="X120" s="27">
        <v>0</v>
      </c>
      <c r="Y120" s="31">
        <v>100</v>
      </c>
      <c r="Z120" s="559">
        <f t="shared" si="18"/>
        <v>93.420755143567717</v>
      </c>
      <c r="AA120" s="561">
        <f t="shared" si="19"/>
        <v>90.442434612564156</v>
      </c>
      <c r="AB120" s="563" t="str">
        <f t="shared" si="20"/>
        <v xml:space="preserve"> </v>
      </c>
      <c r="AC120" s="561" t="str">
        <f t="shared" si="21"/>
        <v xml:space="preserve"> </v>
      </c>
      <c r="AD120" s="562">
        <f t="shared" si="22"/>
        <v>130.12048192771084</v>
      </c>
    </row>
    <row r="121" spans="2:30" ht="15" thickBot="1" x14ac:dyDescent="0.25">
      <c r="B121" s="339" t="s">
        <v>232</v>
      </c>
      <c r="C121" s="338" t="s">
        <v>498</v>
      </c>
      <c r="D121" s="394" t="s">
        <v>213</v>
      </c>
      <c r="E121" s="35" t="s">
        <v>231</v>
      </c>
      <c r="F121" s="30">
        <f t="shared" si="23"/>
        <v>711</v>
      </c>
      <c r="G121" s="27">
        <v>450</v>
      </c>
      <c r="H121" s="27">
        <v>0</v>
      </c>
      <c r="I121" s="27">
        <v>0</v>
      </c>
      <c r="J121" s="27">
        <v>261</v>
      </c>
      <c r="K121" s="30">
        <f t="shared" si="24"/>
        <v>711</v>
      </c>
      <c r="L121" s="27">
        <v>450</v>
      </c>
      <c r="M121" s="27">
        <v>0</v>
      </c>
      <c r="N121" s="27">
        <v>0</v>
      </c>
      <c r="O121" s="27">
        <v>261</v>
      </c>
      <c r="P121" s="30">
        <f t="shared" si="25"/>
        <v>700</v>
      </c>
      <c r="Q121" s="27">
        <v>439</v>
      </c>
      <c r="R121" s="27">
        <v>0</v>
      </c>
      <c r="S121" s="27">
        <v>0</v>
      </c>
      <c r="T121" s="27">
        <v>261</v>
      </c>
      <c r="U121" s="30">
        <f t="shared" si="26"/>
        <v>-11</v>
      </c>
      <c r="V121" s="27">
        <v>-11</v>
      </c>
      <c r="W121" s="27">
        <v>0</v>
      </c>
      <c r="X121" s="27">
        <v>0</v>
      </c>
      <c r="Y121" s="31">
        <v>0</v>
      </c>
      <c r="Z121" s="559">
        <f t="shared" si="18"/>
        <v>98.452883263009852</v>
      </c>
      <c r="AA121" s="561">
        <f t="shared" si="19"/>
        <v>97.555555555555557</v>
      </c>
      <c r="AB121" s="563" t="str">
        <f t="shared" si="20"/>
        <v xml:space="preserve"> </v>
      </c>
      <c r="AC121" s="561" t="str">
        <f t="shared" si="21"/>
        <v xml:space="preserve"> </v>
      </c>
      <c r="AD121" s="562">
        <f t="shared" si="22"/>
        <v>100</v>
      </c>
    </row>
    <row r="122" spans="2:30" ht="15" thickBot="1" x14ac:dyDescent="0.25">
      <c r="B122" s="339" t="s">
        <v>232</v>
      </c>
      <c r="C122" s="338" t="s">
        <v>505</v>
      </c>
      <c r="D122" s="394" t="s">
        <v>213</v>
      </c>
      <c r="E122" s="35" t="s">
        <v>231</v>
      </c>
      <c r="F122" s="30">
        <f t="shared" si="23"/>
        <v>750</v>
      </c>
      <c r="G122" s="27">
        <v>500</v>
      </c>
      <c r="H122" s="27">
        <v>0</v>
      </c>
      <c r="I122" s="27">
        <v>0</v>
      </c>
      <c r="J122" s="27">
        <v>250</v>
      </c>
      <c r="K122" s="30">
        <f t="shared" si="24"/>
        <v>750</v>
      </c>
      <c r="L122" s="27">
        <v>500</v>
      </c>
      <c r="M122" s="27">
        <v>0</v>
      </c>
      <c r="N122" s="27">
        <v>0</v>
      </c>
      <c r="O122" s="27">
        <v>250</v>
      </c>
      <c r="P122" s="30">
        <f t="shared" si="25"/>
        <v>700</v>
      </c>
      <c r="Q122" s="27">
        <v>450</v>
      </c>
      <c r="R122" s="27">
        <v>0</v>
      </c>
      <c r="S122" s="27">
        <v>0</v>
      </c>
      <c r="T122" s="27">
        <v>250</v>
      </c>
      <c r="U122" s="30">
        <f t="shared" si="26"/>
        <v>-50</v>
      </c>
      <c r="V122" s="27">
        <v>-50</v>
      </c>
      <c r="W122" s="27">
        <v>0</v>
      </c>
      <c r="X122" s="27">
        <v>0</v>
      </c>
      <c r="Y122" s="31">
        <v>0</v>
      </c>
      <c r="Z122" s="559">
        <f t="shared" si="18"/>
        <v>93.333333333333329</v>
      </c>
      <c r="AA122" s="561">
        <f t="shared" si="19"/>
        <v>90</v>
      </c>
      <c r="AB122" s="563" t="str">
        <f t="shared" si="20"/>
        <v xml:space="preserve"> </v>
      </c>
      <c r="AC122" s="561" t="str">
        <f t="shared" si="21"/>
        <v xml:space="preserve"> </v>
      </c>
      <c r="AD122" s="562">
        <f t="shared" si="22"/>
        <v>100</v>
      </c>
    </row>
    <row r="123" spans="2:30" ht="26.25" thickBot="1" x14ac:dyDescent="0.25">
      <c r="B123" s="336" t="s">
        <v>232</v>
      </c>
      <c r="C123" s="335"/>
      <c r="D123" s="393" t="s">
        <v>213</v>
      </c>
      <c r="E123" s="333" t="s">
        <v>231</v>
      </c>
      <c r="F123" s="34">
        <f t="shared" si="23"/>
        <v>5884</v>
      </c>
      <c r="G123" s="331">
        <f>SUM(G120:G122)</f>
        <v>5041</v>
      </c>
      <c r="H123" s="331">
        <f>SUM(H120:H122)</f>
        <v>0</v>
      </c>
      <c r="I123" s="331">
        <f>SUM(I120:I122)</f>
        <v>0</v>
      </c>
      <c r="J123" s="331">
        <f>SUM(J120:J122)</f>
        <v>843</v>
      </c>
      <c r="K123" s="34">
        <f t="shared" si="24"/>
        <v>5884</v>
      </c>
      <c r="L123" s="331">
        <f>SUM(L120:L122)</f>
        <v>5041</v>
      </c>
      <c r="M123" s="331">
        <f>SUM(M120:M122)</f>
        <v>0</v>
      </c>
      <c r="N123" s="331">
        <f>SUM(N120:N122)</f>
        <v>0</v>
      </c>
      <c r="O123" s="331">
        <f>SUM(O120:O122)</f>
        <v>843</v>
      </c>
      <c r="P123" s="34">
        <f t="shared" si="25"/>
        <v>5532</v>
      </c>
      <c r="Q123" s="331">
        <f>SUM(Q120:Q122)</f>
        <v>4589</v>
      </c>
      <c r="R123" s="331">
        <f>SUM(R120:R122)</f>
        <v>0</v>
      </c>
      <c r="S123" s="331">
        <f>SUM(S120:S122)</f>
        <v>0</v>
      </c>
      <c r="T123" s="331">
        <f>SUM(T120:T122)</f>
        <v>943</v>
      </c>
      <c r="U123" s="34">
        <f t="shared" si="26"/>
        <v>-352</v>
      </c>
      <c r="V123" s="331">
        <f>SUM(V120:V122)</f>
        <v>-452</v>
      </c>
      <c r="W123" s="331">
        <f>SUM(W120:W122)</f>
        <v>0</v>
      </c>
      <c r="X123" s="331">
        <f>SUM(X120:X122)</f>
        <v>0</v>
      </c>
      <c r="Y123" s="330">
        <f>SUM(Y120:Y122)</f>
        <v>100</v>
      </c>
      <c r="Z123" s="559">
        <f t="shared" si="18"/>
        <v>94.01767505098573</v>
      </c>
      <c r="AA123" s="561">
        <f t="shared" si="19"/>
        <v>91.033525094227343</v>
      </c>
      <c r="AB123" s="563" t="str">
        <f t="shared" si="20"/>
        <v xml:space="preserve"> </v>
      </c>
      <c r="AC123" s="561" t="str">
        <f t="shared" si="21"/>
        <v xml:space="preserve"> </v>
      </c>
      <c r="AD123" s="562">
        <f t="shared" si="22"/>
        <v>111.86239620403322</v>
      </c>
    </row>
    <row r="124" spans="2:30" ht="15" thickBot="1" x14ac:dyDescent="0.25">
      <c r="B124" s="339" t="s">
        <v>230</v>
      </c>
      <c r="C124" s="338" t="s">
        <v>502</v>
      </c>
      <c r="D124" s="394" t="s">
        <v>213</v>
      </c>
      <c r="E124" s="35" t="s">
        <v>504</v>
      </c>
      <c r="F124" s="30">
        <f t="shared" si="23"/>
        <v>282</v>
      </c>
      <c r="G124" s="27">
        <v>0</v>
      </c>
      <c r="H124" s="27">
        <v>0</v>
      </c>
      <c r="I124" s="27">
        <v>0</v>
      </c>
      <c r="J124" s="27">
        <v>282</v>
      </c>
      <c r="K124" s="30">
        <f t="shared" si="24"/>
        <v>282</v>
      </c>
      <c r="L124" s="27">
        <v>0</v>
      </c>
      <c r="M124" s="27">
        <v>0</v>
      </c>
      <c r="N124" s="27">
        <v>0</v>
      </c>
      <c r="O124" s="27">
        <v>282</v>
      </c>
      <c r="P124" s="30">
        <f t="shared" si="25"/>
        <v>282</v>
      </c>
      <c r="Q124" s="27">
        <v>0</v>
      </c>
      <c r="R124" s="27">
        <v>0</v>
      </c>
      <c r="S124" s="27">
        <v>0</v>
      </c>
      <c r="T124" s="27">
        <v>282</v>
      </c>
      <c r="U124" s="30">
        <f t="shared" si="26"/>
        <v>0</v>
      </c>
      <c r="V124" s="27">
        <v>0</v>
      </c>
      <c r="W124" s="27">
        <v>0</v>
      </c>
      <c r="X124" s="27">
        <v>0</v>
      </c>
      <c r="Y124" s="31">
        <v>0</v>
      </c>
      <c r="Z124" s="559">
        <f t="shared" si="18"/>
        <v>100</v>
      </c>
      <c r="AA124" s="561" t="str">
        <f t="shared" si="19"/>
        <v xml:space="preserve"> </v>
      </c>
      <c r="AB124" s="563" t="str">
        <f t="shared" si="20"/>
        <v xml:space="preserve"> </v>
      </c>
      <c r="AC124" s="561" t="str">
        <f t="shared" si="21"/>
        <v xml:space="preserve"> </v>
      </c>
      <c r="AD124" s="562">
        <f t="shared" si="22"/>
        <v>100</v>
      </c>
    </row>
    <row r="125" spans="2:30" ht="15.75" thickBot="1" x14ac:dyDescent="0.25">
      <c r="B125" s="336" t="s">
        <v>230</v>
      </c>
      <c r="C125" s="335"/>
      <c r="D125" s="393" t="s">
        <v>213</v>
      </c>
      <c r="E125" s="333" t="s">
        <v>504</v>
      </c>
      <c r="F125" s="34">
        <f t="shared" si="23"/>
        <v>282</v>
      </c>
      <c r="G125" s="331">
        <f>G124</f>
        <v>0</v>
      </c>
      <c r="H125" s="331">
        <f>H124</f>
        <v>0</v>
      </c>
      <c r="I125" s="331">
        <f>I124</f>
        <v>0</v>
      </c>
      <c r="J125" s="331">
        <f>J124</f>
        <v>282</v>
      </c>
      <c r="K125" s="30">
        <f t="shared" si="24"/>
        <v>282</v>
      </c>
      <c r="L125" s="331">
        <f>L124</f>
        <v>0</v>
      </c>
      <c r="M125" s="331">
        <f>M124</f>
        <v>0</v>
      </c>
      <c r="N125" s="331">
        <f>N124</f>
        <v>0</v>
      </c>
      <c r="O125" s="331">
        <f>O124</f>
        <v>282</v>
      </c>
      <c r="P125" s="30">
        <f t="shared" si="25"/>
        <v>282</v>
      </c>
      <c r="Q125" s="331">
        <f>Q124</f>
        <v>0</v>
      </c>
      <c r="R125" s="331">
        <f>R124</f>
        <v>0</v>
      </c>
      <c r="S125" s="331">
        <f>S124</f>
        <v>0</v>
      </c>
      <c r="T125" s="331">
        <f>T124</f>
        <v>282</v>
      </c>
      <c r="U125" s="30">
        <f t="shared" si="26"/>
        <v>0</v>
      </c>
      <c r="V125" s="331">
        <f>V124</f>
        <v>0</v>
      </c>
      <c r="W125" s="331">
        <f>W124</f>
        <v>0</v>
      </c>
      <c r="X125" s="331">
        <f>X124</f>
        <v>0</v>
      </c>
      <c r="Y125" s="330">
        <f>Y124</f>
        <v>0</v>
      </c>
      <c r="Z125" s="559">
        <f t="shared" si="18"/>
        <v>100</v>
      </c>
      <c r="AA125" s="561" t="str">
        <f t="shared" si="19"/>
        <v xml:space="preserve"> </v>
      </c>
      <c r="AB125" s="563" t="str">
        <f t="shared" si="20"/>
        <v xml:space="preserve"> </v>
      </c>
      <c r="AC125" s="561" t="str">
        <f t="shared" si="21"/>
        <v xml:space="preserve"> </v>
      </c>
      <c r="AD125" s="562">
        <f t="shared" si="22"/>
        <v>100</v>
      </c>
    </row>
    <row r="126" spans="2:30" ht="15" thickBot="1" x14ac:dyDescent="0.25">
      <c r="B126" s="339" t="s">
        <v>229</v>
      </c>
      <c r="C126" s="338" t="s">
        <v>502</v>
      </c>
      <c r="D126" s="394" t="s">
        <v>213</v>
      </c>
      <c r="E126" s="35" t="s">
        <v>228</v>
      </c>
      <c r="F126" s="30">
        <f t="shared" si="23"/>
        <v>1224</v>
      </c>
      <c r="G126" s="27">
        <v>0</v>
      </c>
      <c r="H126" s="27">
        <v>0</v>
      </c>
      <c r="I126" s="27">
        <v>0</v>
      </c>
      <c r="J126" s="27">
        <v>1224</v>
      </c>
      <c r="K126" s="30">
        <f t="shared" si="24"/>
        <v>1224</v>
      </c>
      <c r="L126" s="27">
        <v>0</v>
      </c>
      <c r="M126" s="27">
        <v>0</v>
      </c>
      <c r="N126" s="27">
        <v>0</v>
      </c>
      <c r="O126" s="27">
        <v>1224</v>
      </c>
      <c r="P126" s="30">
        <f t="shared" si="25"/>
        <v>1157</v>
      </c>
      <c r="Q126" s="27">
        <v>0</v>
      </c>
      <c r="R126" s="27">
        <v>0</v>
      </c>
      <c r="S126" s="27">
        <v>0</v>
      </c>
      <c r="T126" s="27">
        <v>1157</v>
      </c>
      <c r="U126" s="30">
        <f t="shared" si="26"/>
        <v>-67</v>
      </c>
      <c r="V126" s="27">
        <v>0</v>
      </c>
      <c r="W126" s="27">
        <v>0</v>
      </c>
      <c r="X126" s="27">
        <v>0</v>
      </c>
      <c r="Y126" s="31">
        <v>-67</v>
      </c>
      <c r="Z126" s="559">
        <f t="shared" si="18"/>
        <v>94.526143790849673</v>
      </c>
      <c r="AA126" s="561" t="str">
        <f t="shared" si="19"/>
        <v xml:space="preserve"> </v>
      </c>
      <c r="AB126" s="563" t="str">
        <f t="shared" si="20"/>
        <v xml:space="preserve"> </v>
      </c>
      <c r="AC126" s="561" t="str">
        <f t="shared" si="21"/>
        <v xml:space="preserve"> </v>
      </c>
      <c r="AD126" s="562">
        <f t="shared" si="22"/>
        <v>94.526143790849673</v>
      </c>
    </row>
    <row r="127" spans="2:30" ht="15.75" thickBot="1" x14ac:dyDescent="0.25">
      <c r="B127" s="336" t="s">
        <v>229</v>
      </c>
      <c r="C127" s="335"/>
      <c r="D127" s="393" t="s">
        <v>213</v>
      </c>
      <c r="E127" s="333" t="s">
        <v>228</v>
      </c>
      <c r="F127" s="34">
        <f t="shared" si="23"/>
        <v>1224</v>
      </c>
      <c r="G127" s="331">
        <f>G126</f>
        <v>0</v>
      </c>
      <c r="H127" s="331">
        <f>H126</f>
        <v>0</v>
      </c>
      <c r="I127" s="331">
        <f>I126</f>
        <v>0</v>
      </c>
      <c r="J127" s="331">
        <f>J126</f>
        <v>1224</v>
      </c>
      <c r="K127" s="34">
        <f t="shared" si="24"/>
        <v>1224</v>
      </c>
      <c r="L127" s="331">
        <f>L126</f>
        <v>0</v>
      </c>
      <c r="M127" s="331">
        <f>M126</f>
        <v>0</v>
      </c>
      <c r="N127" s="331">
        <f>N126</f>
        <v>0</v>
      </c>
      <c r="O127" s="331">
        <f>O126</f>
        <v>1224</v>
      </c>
      <c r="P127" s="34">
        <f t="shared" si="25"/>
        <v>1157</v>
      </c>
      <c r="Q127" s="331">
        <f>Q126</f>
        <v>0</v>
      </c>
      <c r="R127" s="331">
        <f>R126</f>
        <v>0</v>
      </c>
      <c r="S127" s="331">
        <f>S126</f>
        <v>0</v>
      </c>
      <c r="T127" s="331">
        <f>T126</f>
        <v>1157</v>
      </c>
      <c r="U127" s="34">
        <f t="shared" si="26"/>
        <v>-67</v>
      </c>
      <c r="V127" s="331">
        <f>V126</f>
        <v>0</v>
      </c>
      <c r="W127" s="331">
        <f>W126</f>
        <v>0</v>
      </c>
      <c r="X127" s="331">
        <f>X126</f>
        <v>0</v>
      </c>
      <c r="Y127" s="330">
        <f>Y126</f>
        <v>-67</v>
      </c>
      <c r="Z127" s="559">
        <f t="shared" si="18"/>
        <v>94.526143790849673</v>
      </c>
      <c r="AA127" s="561" t="str">
        <f t="shared" si="19"/>
        <v xml:space="preserve"> </v>
      </c>
      <c r="AB127" s="563" t="str">
        <f t="shared" si="20"/>
        <v xml:space="preserve"> </v>
      </c>
      <c r="AC127" s="561" t="str">
        <f t="shared" si="21"/>
        <v xml:space="preserve"> </v>
      </c>
      <c r="AD127" s="562">
        <f t="shared" si="22"/>
        <v>94.526143790849673</v>
      </c>
    </row>
    <row r="128" spans="2:30" ht="15" thickBot="1" x14ac:dyDescent="0.25">
      <c r="B128" s="339" t="s">
        <v>227</v>
      </c>
      <c r="C128" s="338" t="s">
        <v>502</v>
      </c>
      <c r="D128" s="394" t="s">
        <v>213</v>
      </c>
      <c r="E128" s="35" t="s">
        <v>503</v>
      </c>
      <c r="F128" s="30">
        <f t="shared" si="23"/>
        <v>155</v>
      </c>
      <c r="G128" s="27">
        <v>0</v>
      </c>
      <c r="H128" s="27">
        <v>0</v>
      </c>
      <c r="I128" s="27">
        <v>0</v>
      </c>
      <c r="J128" s="27">
        <v>155</v>
      </c>
      <c r="K128" s="30">
        <f t="shared" si="24"/>
        <v>155</v>
      </c>
      <c r="L128" s="27">
        <v>0</v>
      </c>
      <c r="M128" s="27">
        <v>0</v>
      </c>
      <c r="N128" s="27">
        <v>0</v>
      </c>
      <c r="O128" s="27">
        <v>155</v>
      </c>
      <c r="P128" s="30">
        <f t="shared" si="25"/>
        <v>120</v>
      </c>
      <c r="Q128" s="27">
        <v>0</v>
      </c>
      <c r="R128" s="27">
        <v>0</v>
      </c>
      <c r="S128" s="27">
        <v>0</v>
      </c>
      <c r="T128" s="27">
        <v>120</v>
      </c>
      <c r="U128" s="30">
        <f t="shared" si="26"/>
        <v>-35</v>
      </c>
      <c r="V128" s="27">
        <v>0</v>
      </c>
      <c r="W128" s="27">
        <v>0</v>
      </c>
      <c r="X128" s="27">
        <v>0</v>
      </c>
      <c r="Y128" s="31">
        <v>-35</v>
      </c>
      <c r="Z128" s="559">
        <f t="shared" si="18"/>
        <v>77.41935483870968</v>
      </c>
      <c r="AA128" s="561" t="str">
        <f t="shared" si="19"/>
        <v xml:space="preserve"> </v>
      </c>
      <c r="AB128" s="563" t="str">
        <f t="shared" si="20"/>
        <v xml:space="preserve"> </v>
      </c>
      <c r="AC128" s="561" t="str">
        <f t="shared" si="21"/>
        <v xml:space="preserve"> </v>
      </c>
      <c r="AD128" s="562">
        <f t="shared" si="22"/>
        <v>77.41935483870968</v>
      </c>
    </row>
    <row r="129" spans="2:30" ht="15.75" thickBot="1" x14ac:dyDescent="0.25">
      <c r="B129" s="336" t="s">
        <v>227</v>
      </c>
      <c r="C129" s="335"/>
      <c r="D129" s="393" t="s">
        <v>213</v>
      </c>
      <c r="E129" s="333" t="s">
        <v>503</v>
      </c>
      <c r="F129" s="34">
        <f t="shared" si="23"/>
        <v>155</v>
      </c>
      <c r="G129" s="331">
        <f>G128</f>
        <v>0</v>
      </c>
      <c r="H129" s="331">
        <f>H128</f>
        <v>0</v>
      </c>
      <c r="I129" s="331">
        <f>I128</f>
        <v>0</v>
      </c>
      <c r="J129" s="331">
        <f>J128</f>
        <v>155</v>
      </c>
      <c r="K129" s="34">
        <f t="shared" si="24"/>
        <v>155</v>
      </c>
      <c r="L129" s="331">
        <f>L128</f>
        <v>0</v>
      </c>
      <c r="M129" s="331">
        <f>M128</f>
        <v>0</v>
      </c>
      <c r="N129" s="331">
        <f>N128</f>
        <v>0</v>
      </c>
      <c r="O129" s="331">
        <f>O128</f>
        <v>155</v>
      </c>
      <c r="P129" s="34">
        <f t="shared" si="25"/>
        <v>120</v>
      </c>
      <c r="Q129" s="331">
        <f>Q128</f>
        <v>0</v>
      </c>
      <c r="R129" s="331">
        <f>R128</f>
        <v>0</v>
      </c>
      <c r="S129" s="331">
        <f>S128</f>
        <v>0</v>
      </c>
      <c r="T129" s="331">
        <f>T128</f>
        <v>120</v>
      </c>
      <c r="U129" s="34">
        <f t="shared" si="26"/>
        <v>-35</v>
      </c>
      <c r="V129" s="331">
        <f>V128</f>
        <v>0</v>
      </c>
      <c r="W129" s="331">
        <f>W128</f>
        <v>0</v>
      </c>
      <c r="X129" s="331">
        <f>X128</f>
        <v>0</v>
      </c>
      <c r="Y129" s="330">
        <f>Y128</f>
        <v>-35</v>
      </c>
      <c r="Z129" s="559">
        <f t="shared" si="18"/>
        <v>77.41935483870968</v>
      </c>
      <c r="AA129" s="561" t="str">
        <f t="shared" si="19"/>
        <v xml:space="preserve"> </v>
      </c>
      <c r="AB129" s="563" t="str">
        <f t="shared" si="20"/>
        <v xml:space="preserve"> </v>
      </c>
      <c r="AC129" s="561" t="str">
        <f t="shared" si="21"/>
        <v xml:space="preserve"> </v>
      </c>
      <c r="AD129" s="562">
        <f t="shared" si="22"/>
        <v>77.41935483870968</v>
      </c>
    </row>
    <row r="130" spans="2:30" ht="15" thickBot="1" x14ac:dyDescent="0.25">
      <c r="B130" s="339" t="s">
        <v>226</v>
      </c>
      <c r="C130" s="338" t="s">
        <v>502</v>
      </c>
      <c r="D130" s="394" t="s">
        <v>213</v>
      </c>
      <c r="E130" s="35" t="s">
        <v>225</v>
      </c>
      <c r="F130" s="30">
        <f t="shared" si="23"/>
        <v>142</v>
      </c>
      <c r="G130" s="27">
        <v>0</v>
      </c>
      <c r="H130" s="27">
        <v>0</v>
      </c>
      <c r="I130" s="27">
        <v>0</v>
      </c>
      <c r="J130" s="27">
        <v>142</v>
      </c>
      <c r="K130" s="30">
        <f t="shared" si="24"/>
        <v>142</v>
      </c>
      <c r="L130" s="27">
        <v>0</v>
      </c>
      <c r="M130" s="27">
        <v>0</v>
      </c>
      <c r="N130" s="27">
        <v>0</v>
      </c>
      <c r="O130" s="27">
        <v>142</v>
      </c>
      <c r="P130" s="30">
        <f t="shared" si="25"/>
        <v>145</v>
      </c>
      <c r="Q130" s="27">
        <v>0</v>
      </c>
      <c r="R130" s="27">
        <v>0</v>
      </c>
      <c r="S130" s="27">
        <v>0</v>
      </c>
      <c r="T130" s="27">
        <v>145</v>
      </c>
      <c r="U130" s="30">
        <f t="shared" si="26"/>
        <v>3</v>
      </c>
      <c r="V130" s="27">
        <v>0</v>
      </c>
      <c r="W130" s="27">
        <v>0</v>
      </c>
      <c r="X130" s="27">
        <v>0</v>
      </c>
      <c r="Y130" s="31">
        <v>3</v>
      </c>
      <c r="Z130" s="559">
        <f t="shared" si="18"/>
        <v>102.11267605633803</v>
      </c>
      <c r="AA130" s="561" t="str">
        <f t="shared" si="19"/>
        <v xml:space="preserve"> </v>
      </c>
      <c r="AB130" s="563" t="str">
        <f t="shared" si="20"/>
        <v xml:space="preserve"> </v>
      </c>
      <c r="AC130" s="561" t="str">
        <f t="shared" si="21"/>
        <v xml:space="preserve"> </v>
      </c>
      <c r="AD130" s="562">
        <f t="shared" si="22"/>
        <v>102.11267605633803</v>
      </c>
    </row>
    <row r="131" spans="2:30" ht="26.25" thickBot="1" x14ac:dyDescent="0.25">
      <c r="B131" s="336" t="s">
        <v>226</v>
      </c>
      <c r="C131" s="335"/>
      <c r="D131" s="393" t="s">
        <v>213</v>
      </c>
      <c r="E131" s="333" t="s">
        <v>225</v>
      </c>
      <c r="F131" s="34">
        <f t="shared" si="23"/>
        <v>142</v>
      </c>
      <c r="G131" s="331">
        <f>G130</f>
        <v>0</v>
      </c>
      <c r="H131" s="331">
        <f>H130</f>
        <v>0</v>
      </c>
      <c r="I131" s="331">
        <f>I130</f>
        <v>0</v>
      </c>
      <c r="J131" s="331">
        <f>J130</f>
        <v>142</v>
      </c>
      <c r="K131" s="34">
        <f t="shared" si="24"/>
        <v>142</v>
      </c>
      <c r="L131" s="331">
        <f>L130</f>
        <v>0</v>
      </c>
      <c r="M131" s="331">
        <f>M130</f>
        <v>0</v>
      </c>
      <c r="N131" s="331">
        <f>N130</f>
        <v>0</v>
      </c>
      <c r="O131" s="331">
        <f>O130</f>
        <v>142</v>
      </c>
      <c r="P131" s="34">
        <f t="shared" si="25"/>
        <v>145</v>
      </c>
      <c r="Q131" s="331">
        <f>Q130</f>
        <v>0</v>
      </c>
      <c r="R131" s="331">
        <f>R130</f>
        <v>0</v>
      </c>
      <c r="S131" s="331">
        <f>S130</f>
        <v>0</v>
      </c>
      <c r="T131" s="331">
        <f>T130</f>
        <v>145</v>
      </c>
      <c r="U131" s="34">
        <f t="shared" si="26"/>
        <v>3</v>
      </c>
      <c r="V131" s="331">
        <f>V130</f>
        <v>0</v>
      </c>
      <c r="W131" s="331">
        <f>W130</f>
        <v>0</v>
      </c>
      <c r="X131" s="331">
        <f>X130</f>
        <v>0</v>
      </c>
      <c r="Y131" s="330">
        <f>Y130</f>
        <v>3</v>
      </c>
      <c r="Z131" s="559">
        <f t="shared" si="18"/>
        <v>102.11267605633803</v>
      </c>
      <c r="AA131" s="561" t="str">
        <f t="shared" si="19"/>
        <v xml:space="preserve"> </v>
      </c>
      <c r="AB131" s="563" t="str">
        <f t="shared" si="20"/>
        <v xml:space="preserve"> </v>
      </c>
      <c r="AC131" s="561" t="str">
        <f t="shared" si="21"/>
        <v xml:space="preserve"> </v>
      </c>
      <c r="AD131" s="562">
        <f t="shared" si="22"/>
        <v>102.11267605633803</v>
      </c>
    </row>
    <row r="132" spans="2:30" ht="15" thickBot="1" x14ac:dyDescent="0.25">
      <c r="B132" s="339" t="s">
        <v>224</v>
      </c>
      <c r="C132" s="338" t="s">
        <v>502</v>
      </c>
      <c r="D132" s="394" t="s">
        <v>213</v>
      </c>
      <c r="E132" s="35" t="s">
        <v>223</v>
      </c>
      <c r="F132" s="30">
        <f t="shared" si="23"/>
        <v>179</v>
      </c>
      <c r="G132" s="27">
        <v>101</v>
      </c>
      <c r="H132" s="27">
        <v>0</v>
      </c>
      <c r="I132" s="27">
        <v>0</v>
      </c>
      <c r="J132" s="27">
        <v>78</v>
      </c>
      <c r="K132" s="30">
        <f t="shared" si="24"/>
        <v>179</v>
      </c>
      <c r="L132" s="27">
        <v>101</v>
      </c>
      <c r="M132" s="27">
        <v>0</v>
      </c>
      <c r="N132" s="27">
        <v>0</v>
      </c>
      <c r="O132" s="27">
        <v>78</v>
      </c>
      <c r="P132" s="30">
        <f t="shared" si="25"/>
        <v>141</v>
      </c>
      <c r="Q132" s="27">
        <v>96</v>
      </c>
      <c r="R132" s="27">
        <v>0</v>
      </c>
      <c r="S132" s="27">
        <v>0</v>
      </c>
      <c r="T132" s="27">
        <v>45</v>
      </c>
      <c r="U132" s="30">
        <f t="shared" si="26"/>
        <v>-38</v>
      </c>
      <c r="V132" s="27">
        <v>-5</v>
      </c>
      <c r="W132" s="27">
        <v>0</v>
      </c>
      <c r="X132" s="27">
        <v>0</v>
      </c>
      <c r="Y132" s="31">
        <v>-33</v>
      </c>
      <c r="Z132" s="559">
        <f t="shared" si="18"/>
        <v>78.770949720670387</v>
      </c>
      <c r="AA132" s="561">
        <f t="shared" si="19"/>
        <v>95.049504950495049</v>
      </c>
      <c r="AB132" s="563" t="str">
        <f t="shared" si="20"/>
        <v xml:space="preserve"> </v>
      </c>
      <c r="AC132" s="561" t="str">
        <f t="shared" si="21"/>
        <v xml:space="preserve"> </v>
      </c>
      <c r="AD132" s="562">
        <f t="shared" si="22"/>
        <v>57.692307692307686</v>
      </c>
    </row>
    <row r="133" spans="2:30" ht="15.75" thickBot="1" x14ac:dyDescent="0.25">
      <c r="B133" s="336" t="s">
        <v>224</v>
      </c>
      <c r="C133" s="335"/>
      <c r="D133" s="393" t="s">
        <v>213</v>
      </c>
      <c r="E133" s="333" t="s">
        <v>223</v>
      </c>
      <c r="F133" s="34">
        <f t="shared" si="23"/>
        <v>179</v>
      </c>
      <c r="G133" s="331">
        <f>G132</f>
        <v>101</v>
      </c>
      <c r="H133" s="331">
        <f>H132</f>
        <v>0</v>
      </c>
      <c r="I133" s="331">
        <f>I132</f>
        <v>0</v>
      </c>
      <c r="J133" s="331">
        <f>J132</f>
        <v>78</v>
      </c>
      <c r="K133" s="34">
        <f t="shared" si="24"/>
        <v>179</v>
      </c>
      <c r="L133" s="331">
        <f>L132</f>
        <v>101</v>
      </c>
      <c r="M133" s="331">
        <f>M132</f>
        <v>0</v>
      </c>
      <c r="N133" s="331">
        <f>N132</f>
        <v>0</v>
      </c>
      <c r="O133" s="331">
        <f>O132</f>
        <v>78</v>
      </c>
      <c r="P133" s="34">
        <f t="shared" si="25"/>
        <v>141</v>
      </c>
      <c r="Q133" s="331">
        <f>Q132</f>
        <v>96</v>
      </c>
      <c r="R133" s="331">
        <f>R132</f>
        <v>0</v>
      </c>
      <c r="S133" s="331">
        <f>S132</f>
        <v>0</v>
      </c>
      <c r="T133" s="331">
        <f>T132</f>
        <v>45</v>
      </c>
      <c r="U133" s="34">
        <f t="shared" si="26"/>
        <v>-38</v>
      </c>
      <c r="V133" s="331">
        <f>V132</f>
        <v>-5</v>
      </c>
      <c r="W133" s="331">
        <f>W132</f>
        <v>0</v>
      </c>
      <c r="X133" s="331">
        <f>X132</f>
        <v>0</v>
      </c>
      <c r="Y133" s="330">
        <f>Y132</f>
        <v>-33</v>
      </c>
      <c r="Z133" s="559">
        <f t="shared" si="18"/>
        <v>78.770949720670387</v>
      </c>
      <c r="AA133" s="561">
        <f t="shared" si="19"/>
        <v>95.049504950495049</v>
      </c>
      <c r="AB133" s="563" t="str">
        <f t="shared" si="20"/>
        <v xml:space="preserve"> </v>
      </c>
      <c r="AC133" s="561" t="str">
        <f t="shared" si="21"/>
        <v xml:space="preserve"> </v>
      </c>
      <c r="AD133" s="562">
        <f t="shared" si="22"/>
        <v>57.692307692307686</v>
      </c>
    </row>
    <row r="134" spans="2:30" ht="15" thickBot="1" x14ac:dyDescent="0.25">
      <c r="B134" s="339" t="s">
        <v>222</v>
      </c>
      <c r="C134" s="338" t="s">
        <v>501</v>
      </c>
      <c r="D134" s="394" t="s">
        <v>213</v>
      </c>
      <c r="E134" s="35" t="s">
        <v>221</v>
      </c>
      <c r="F134" s="30">
        <f t="shared" si="23"/>
        <v>1596</v>
      </c>
      <c r="G134" s="27">
        <v>1057</v>
      </c>
      <c r="H134" s="27">
        <v>0</v>
      </c>
      <c r="I134" s="27">
        <v>95</v>
      </c>
      <c r="J134" s="27">
        <v>444</v>
      </c>
      <c r="K134" s="30">
        <f t="shared" si="24"/>
        <v>1596</v>
      </c>
      <c r="L134" s="27">
        <v>1057</v>
      </c>
      <c r="M134" s="27">
        <v>0</v>
      </c>
      <c r="N134" s="27">
        <v>95</v>
      </c>
      <c r="O134" s="27">
        <v>444</v>
      </c>
      <c r="P134" s="30">
        <f t="shared" si="25"/>
        <v>1558</v>
      </c>
      <c r="Q134" s="27">
        <v>1004</v>
      </c>
      <c r="R134" s="27">
        <v>0</v>
      </c>
      <c r="S134" s="27">
        <v>101</v>
      </c>
      <c r="T134" s="27">
        <v>453</v>
      </c>
      <c r="U134" s="30">
        <f t="shared" si="26"/>
        <v>-38</v>
      </c>
      <c r="V134" s="27">
        <v>-53</v>
      </c>
      <c r="W134" s="27">
        <v>0</v>
      </c>
      <c r="X134" s="27">
        <v>6</v>
      </c>
      <c r="Y134" s="31">
        <v>9</v>
      </c>
      <c r="Z134" s="559">
        <f t="shared" si="18"/>
        <v>97.61904761904762</v>
      </c>
      <c r="AA134" s="561">
        <f t="shared" si="19"/>
        <v>94.985808893093662</v>
      </c>
      <c r="AB134" s="563" t="str">
        <f t="shared" si="20"/>
        <v xml:space="preserve"> </v>
      </c>
      <c r="AC134" s="561">
        <f t="shared" si="21"/>
        <v>106.31578947368421</v>
      </c>
      <c r="AD134" s="562">
        <f t="shared" si="22"/>
        <v>102.02702702702702</v>
      </c>
    </row>
    <row r="135" spans="2:30" ht="15.75" thickBot="1" x14ac:dyDescent="0.25">
      <c r="B135" s="336" t="s">
        <v>222</v>
      </c>
      <c r="C135" s="335"/>
      <c r="D135" s="393" t="s">
        <v>213</v>
      </c>
      <c r="E135" s="333" t="s">
        <v>221</v>
      </c>
      <c r="F135" s="34">
        <f t="shared" si="23"/>
        <v>1596</v>
      </c>
      <c r="G135" s="331">
        <f>G134</f>
        <v>1057</v>
      </c>
      <c r="H135" s="331">
        <f>H134</f>
        <v>0</v>
      </c>
      <c r="I135" s="331">
        <f>I134</f>
        <v>95</v>
      </c>
      <c r="J135" s="331">
        <f>J134</f>
        <v>444</v>
      </c>
      <c r="K135" s="34">
        <f t="shared" si="24"/>
        <v>1596</v>
      </c>
      <c r="L135" s="331">
        <f>L134</f>
        <v>1057</v>
      </c>
      <c r="M135" s="331">
        <f>M134</f>
        <v>0</v>
      </c>
      <c r="N135" s="331">
        <f>N134</f>
        <v>95</v>
      </c>
      <c r="O135" s="331">
        <f>O134</f>
        <v>444</v>
      </c>
      <c r="P135" s="34">
        <f t="shared" si="25"/>
        <v>1558</v>
      </c>
      <c r="Q135" s="331">
        <f>Q134</f>
        <v>1004</v>
      </c>
      <c r="R135" s="331">
        <f>R134</f>
        <v>0</v>
      </c>
      <c r="S135" s="331">
        <f>S134</f>
        <v>101</v>
      </c>
      <c r="T135" s="331">
        <f>T134</f>
        <v>453</v>
      </c>
      <c r="U135" s="34">
        <f t="shared" si="26"/>
        <v>-38</v>
      </c>
      <c r="V135" s="331">
        <f>V134</f>
        <v>-53</v>
      </c>
      <c r="W135" s="331">
        <f>W134</f>
        <v>0</v>
      </c>
      <c r="X135" s="331">
        <f>X134</f>
        <v>6</v>
      </c>
      <c r="Y135" s="330">
        <f>Y134</f>
        <v>9</v>
      </c>
      <c r="Z135" s="559">
        <f t="shared" si="18"/>
        <v>97.61904761904762</v>
      </c>
      <c r="AA135" s="561">
        <f t="shared" si="19"/>
        <v>94.985808893093662</v>
      </c>
      <c r="AB135" s="563" t="str">
        <f t="shared" si="20"/>
        <v xml:space="preserve"> </v>
      </c>
      <c r="AC135" s="561">
        <f t="shared" si="21"/>
        <v>106.31578947368421</v>
      </c>
      <c r="AD135" s="562">
        <f t="shared" si="22"/>
        <v>102.02702702702702</v>
      </c>
    </row>
    <row r="136" spans="2:30" ht="15" thickBot="1" x14ac:dyDescent="0.25">
      <c r="B136" s="339" t="s">
        <v>220</v>
      </c>
      <c r="C136" s="338" t="s">
        <v>501</v>
      </c>
      <c r="D136" s="394" t="s">
        <v>213</v>
      </c>
      <c r="E136" s="35" t="s">
        <v>219</v>
      </c>
      <c r="F136" s="30">
        <f t="shared" si="23"/>
        <v>268</v>
      </c>
      <c r="G136" s="27">
        <v>265</v>
      </c>
      <c r="H136" s="27">
        <v>0</v>
      </c>
      <c r="I136" s="27">
        <v>0</v>
      </c>
      <c r="J136" s="27">
        <v>3</v>
      </c>
      <c r="K136" s="30">
        <f t="shared" si="24"/>
        <v>268</v>
      </c>
      <c r="L136" s="27">
        <v>265</v>
      </c>
      <c r="M136" s="27">
        <v>0</v>
      </c>
      <c r="N136" s="27">
        <v>0</v>
      </c>
      <c r="O136" s="27">
        <v>3</v>
      </c>
      <c r="P136" s="30">
        <f t="shared" si="25"/>
        <v>255</v>
      </c>
      <c r="Q136" s="27">
        <v>252</v>
      </c>
      <c r="R136" s="27">
        <v>0</v>
      </c>
      <c r="S136" s="27">
        <v>0</v>
      </c>
      <c r="T136" s="27">
        <v>3</v>
      </c>
      <c r="U136" s="30">
        <f t="shared" si="26"/>
        <v>-13</v>
      </c>
      <c r="V136" s="27">
        <v>-13</v>
      </c>
      <c r="W136" s="27">
        <v>0</v>
      </c>
      <c r="X136" s="27">
        <v>0</v>
      </c>
      <c r="Y136" s="31">
        <v>0</v>
      </c>
      <c r="Z136" s="559">
        <f t="shared" si="18"/>
        <v>95.149253731343293</v>
      </c>
      <c r="AA136" s="561">
        <f t="shared" si="19"/>
        <v>95.094339622641513</v>
      </c>
      <c r="AB136" s="563" t="str">
        <f t="shared" si="20"/>
        <v xml:space="preserve"> </v>
      </c>
      <c r="AC136" s="561" t="str">
        <f t="shared" si="21"/>
        <v xml:space="preserve"> </v>
      </c>
      <c r="AD136" s="562">
        <f t="shared" si="22"/>
        <v>100</v>
      </c>
    </row>
    <row r="137" spans="2:30" ht="15.75" thickBot="1" x14ac:dyDescent="0.25">
      <c r="B137" s="336" t="s">
        <v>220</v>
      </c>
      <c r="C137" s="335"/>
      <c r="D137" s="393" t="s">
        <v>213</v>
      </c>
      <c r="E137" s="333" t="s">
        <v>219</v>
      </c>
      <c r="F137" s="34">
        <f t="shared" si="23"/>
        <v>268</v>
      </c>
      <c r="G137" s="331">
        <f>G136</f>
        <v>265</v>
      </c>
      <c r="H137" s="331">
        <f>H136</f>
        <v>0</v>
      </c>
      <c r="I137" s="331">
        <f>I136</f>
        <v>0</v>
      </c>
      <c r="J137" s="331">
        <f>J136</f>
        <v>3</v>
      </c>
      <c r="K137" s="34">
        <f t="shared" si="24"/>
        <v>268</v>
      </c>
      <c r="L137" s="331">
        <f>L136</f>
        <v>265</v>
      </c>
      <c r="M137" s="331">
        <f>M136</f>
        <v>0</v>
      </c>
      <c r="N137" s="331">
        <f>N136</f>
        <v>0</v>
      </c>
      <c r="O137" s="331">
        <f>O136</f>
        <v>3</v>
      </c>
      <c r="P137" s="34">
        <f t="shared" si="25"/>
        <v>255</v>
      </c>
      <c r="Q137" s="331">
        <f>Q136</f>
        <v>252</v>
      </c>
      <c r="R137" s="331">
        <f>R136</f>
        <v>0</v>
      </c>
      <c r="S137" s="331">
        <f>S136</f>
        <v>0</v>
      </c>
      <c r="T137" s="331">
        <f>T136</f>
        <v>3</v>
      </c>
      <c r="U137" s="34">
        <f t="shared" si="26"/>
        <v>-13</v>
      </c>
      <c r="V137" s="331">
        <f>V136</f>
        <v>-13</v>
      </c>
      <c r="W137" s="331">
        <f>W136</f>
        <v>0</v>
      </c>
      <c r="X137" s="331">
        <f>X136</f>
        <v>0</v>
      </c>
      <c r="Y137" s="330">
        <f>Y136</f>
        <v>0</v>
      </c>
      <c r="Z137" s="559">
        <f t="shared" si="18"/>
        <v>95.149253731343293</v>
      </c>
      <c r="AA137" s="561">
        <f t="shared" si="19"/>
        <v>95.094339622641513</v>
      </c>
      <c r="AB137" s="563" t="str">
        <f t="shared" si="20"/>
        <v xml:space="preserve"> </v>
      </c>
      <c r="AC137" s="561" t="str">
        <f t="shared" si="21"/>
        <v xml:space="preserve"> </v>
      </c>
      <c r="AD137" s="562">
        <f t="shared" si="22"/>
        <v>100</v>
      </c>
    </row>
    <row r="138" spans="2:30" ht="15" thickBot="1" x14ac:dyDescent="0.25">
      <c r="B138" s="339" t="s">
        <v>218</v>
      </c>
      <c r="C138" s="338" t="s">
        <v>501</v>
      </c>
      <c r="D138" s="394" t="s">
        <v>213</v>
      </c>
      <c r="E138" s="35" t="s">
        <v>217</v>
      </c>
      <c r="F138" s="30">
        <f t="shared" si="23"/>
        <v>454</v>
      </c>
      <c r="G138" s="27">
        <v>409</v>
      </c>
      <c r="H138" s="27">
        <v>0</v>
      </c>
      <c r="I138" s="27">
        <v>0</v>
      </c>
      <c r="J138" s="27">
        <v>45</v>
      </c>
      <c r="K138" s="30">
        <f t="shared" si="24"/>
        <v>454</v>
      </c>
      <c r="L138" s="27">
        <v>409</v>
      </c>
      <c r="M138" s="27">
        <v>0</v>
      </c>
      <c r="N138" s="27">
        <v>0</v>
      </c>
      <c r="O138" s="27">
        <v>45</v>
      </c>
      <c r="P138" s="30">
        <f t="shared" si="25"/>
        <v>445</v>
      </c>
      <c r="Q138" s="27">
        <v>389</v>
      </c>
      <c r="R138" s="27">
        <v>0</v>
      </c>
      <c r="S138" s="27">
        <v>0</v>
      </c>
      <c r="T138" s="27">
        <v>56</v>
      </c>
      <c r="U138" s="30">
        <f t="shared" si="26"/>
        <v>-9</v>
      </c>
      <c r="V138" s="27">
        <v>-20</v>
      </c>
      <c r="W138" s="27">
        <v>0</v>
      </c>
      <c r="X138" s="27">
        <v>0</v>
      </c>
      <c r="Y138" s="31">
        <v>11</v>
      </c>
      <c r="Z138" s="559">
        <f t="shared" si="18"/>
        <v>98.017621145374449</v>
      </c>
      <c r="AA138" s="561">
        <f t="shared" si="19"/>
        <v>95.110024449877756</v>
      </c>
      <c r="AB138" s="563" t="str">
        <f t="shared" si="20"/>
        <v xml:space="preserve"> </v>
      </c>
      <c r="AC138" s="561" t="str">
        <f t="shared" si="21"/>
        <v xml:space="preserve"> </v>
      </c>
      <c r="AD138" s="562">
        <f t="shared" si="22"/>
        <v>124.44444444444444</v>
      </c>
    </row>
    <row r="139" spans="2:30" ht="15.75" thickBot="1" x14ac:dyDescent="0.25">
      <c r="B139" s="336" t="s">
        <v>218</v>
      </c>
      <c r="C139" s="335"/>
      <c r="D139" s="393" t="s">
        <v>213</v>
      </c>
      <c r="E139" s="333" t="s">
        <v>217</v>
      </c>
      <c r="F139" s="34">
        <f t="shared" si="23"/>
        <v>454</v>
      </c>
      <c r="G139" s="331">
        <f>G138</f>
        <v>409</v>
      </c>
      <c r="H139" s="331">
        <f>H138</f>
        <v>0</v>
      </c>
      <c r="I139" s="331">
        <f>I138</f>
        <v>0</v>
      </c>
      <c r="J139" s="331">
        <f>J138</f>
        <v>45</v>
      </c>
      <c r="K139" s="34">
        <f t="shared" si="24"/>
        <v>454</v>
      </c>
      <c r="L139" s="331">
        <f>L138</f>
        <v>409</v>
      </c>
      <c r="M139" s="331">
        <f>M138</f>
        <v>0</v>
      </c>
      <c r="N139" s="331">
        <f>N138</f>
        <v>0</v>
      </c>
      <c r="O139" s="331">
        <f>O138</f>
        <v>45</v>
      </c>
      <c r="P139" s="34">
        <f t="shared" si="25"/>
        <v>445</v>
      </c>
      <c r="Q139" s="331">
        <f>Q138</f>
        <v>389</v>
      </c>
      <c r="R139" s="331">
        <f>R138</f>
        <v>0</v>
      </c>
      <c r="S139" s="331">
        <f>S138</f>
        <v>0</v>
      </c>
      <c r="T139" s="331">
        <f>T138</f>
        <v>56</v>
      </c>
      <c r="U139" s="34">
        <f t="shared" si="26"/>
        <v>-9</v>
      </c>
      <c r="V139" s="331">
        <f>V138</f>
        <v>-20</v>
      </c>
      <c r="W139" s="331">
        <f>W138</f>
        <v>0</v>
      </c>
      <c r="X139" s="331">
        <f>X138</f>
        <v>0</v>
      </c>
      <c r="Y139" s="330">
        <f>Y138</f>
        <v>11</v>
      </c>
      <c r="Z139" s="559">
        <f t="shared" si="18"/>
        <v>98.017621145374449</v>
      </c>
      <c r="AA139" s="561">
        <f t="shared" si="19"/>
        <v>95.110024449877756</v>
      </c>
      <c r="AB139" s="563" t="str">
        <f t="shared" si="20"/>
        <v xml:space="preserve"> </v>
      </c>
      <c r="AC139" s="561" t="str">
        <f t="shared" si="21"/>
        <v xml:space="preserve"> </v>
      </c>
      <c r="AD139" s="562">
        <f t="shared" si="22"/>
        <v>124.44444444444444</v>
      </c>
    </row>
    <row r="140" spans="2:30" ht="15" thickBot="1" x14ac:dyDescent="0.25">
      <c r="B140" s="339" t="s">
        <v>216</v>
      </c>
      <c r="C140" s="338" t="s">
        <v>500</v>
      </c>
      <c r="D140" s="394" t="s">
        <v>213</v>
      </c>
      <c r="E140" s="35" t="s">
        <v>499</v>
      </c>
      <c r="F140" s="30">
        <f t="shared" si="23"/>
        <v>4089</v>
      </c>
      <c r="G140" s="27">
        <v>3481</v>
      </c>
      <c r="H140" s="27">
        <v>0</v>
      </c>
      <c r="I140" s="27">
        <v>0</v>
      </c>
      <c r="J140" s="27">
        <v>608</v>
      </c>
      <c r="K140" s="30">
        <f t="shared" si="24"/>
        <v>4089</v>
      </c>
      <c r="L140" s="27">
        <v>3481</v>
      </c>
      <c r="M140" s="27">
        <v>0</v>
      </c>
      <c r="N140" s="27">
        <v>0</v>
      </c>
      <c r="O140" s="27">
        <v>608</v>
      </c>
      <c r="P140" s="30">
        <f t="shared" si="25"/>
        <v>3918</v>
      </c>
      <c r="Q140" s="27">
        <v>3307</v>
      </c>
      <c r="R140" s="27">
        <v>0</v>
      </c>
      <c r="S140" s="27">
        <v>0</v>
      </c>
      <c r="T140" s="27">
        <v>611</v>
      </c>
      <c r="U140" s="30">
        <f t="shared" si="26"/>
        <v>-171</v>
      </c>
      <c r="V140" s="27">
        <v>-174</v>
      </c>
      <c r="W140" s="27">
        <v>0</v>
      </c>
      <c r="X140" s="27">
        <v>0</v>
      </c>
      <c r="Y140" s="31">
        <v>3</v>
      </c>
      <c r="Z140" s="559">
        <f t="shared" si="18"/>
        <v>95.818048422597215</v>
      </c>
      <c r="AA140" s="561">
        <f t="shared" si="19"/>
        <v>95.00143636885953</v>
      </c>
      <c r="AB140" s="563" t="str">
        <f t="shared" si="20"/>
        <v xml:space="preserve"> </v>
      </c>
      <c r="AC140" s="561" t="str">
        <f t="shared" si="21"/>
        <v xml:space="preserve"> </v>
      </c>
      <c r="AD140" s="562">
        <f t="shared" si="22"/>
        <v>100.49342105263158</v>
      </c>
    </row>
    <row r="141" spans="2:30" ht="26.25" thickBot="1" x14ac:dyDescent="0.25">
      <c r="B141" s="336" t="s">
        <v>216</v>
      </c>
      <c r="C141" s="335"/>
      <c r="D141" s="393" t="s">
        <v>213</v>
      </c>
      <c r="E141" s="333" t="s">
        <v>499</v>
      </c>
      <c r="F141" s="34">
        <f t="shared" si="23"/>
        <v>4089</v>
      </c>
      <c r="G141" s="331">
        <f>G140</f>
        <v>3481</v>
      </c>
      <c r="H141" s="331">
        <f>H140</f>
        <v>0</v>
      </c>
      <c r="I141" s="331">
        <f>I140</f>
        <v>0</v>
      </c>
      <c r="J141" s="331">
        <f>J140</f>
        <v>608</v>
      </c>
      <c r="K141" s="34">
        <f t="shared" si="24"/>
        <v>4089</v>
      </c>
      <c r="L141" s="331">
        <f>L140</f>
        <v>3481</v>
      </c>
      <c r="M141" s="331">
        <f>M140</f>
        <v>0</v>
      </c>
      <c r="N141" s="331">
        <f>N140</f>
        <v>0</v>
      </c>
      <c r="O141" s="331">
        <f>O140</f>
        <v>608</v>
      </c>
      <c r="P141" s="34">
        <f t="shared" si="25"/>
        <v>3918</v>
      </c>
      <c r="Q141" s="331">
        <f>Q140</f>
        <v>3307</v>
      </c>
      <c r="R141" s="331">
        <f>R140</f>
        <v>0</v>
      </c>
      <c r="S141" s="331">
        <f>S140</f>
        <v>0</v>
      </c>
      <c r="T141" s="331">
        <f>T140</f>
        <v>611</v>
      </c>
      <c r="U141" s="34">
        <f t="shared" si="26"/>
        <v>-171</v>
      </c>
      <c r="V141" s="331">
        <f>V140</f>
        <v>-174</v>
      </c>
      <c r="W141" s="331">
        <f>W140</f>
        <v>0</v>
      </c>
      <c r="X141" s="331">
        <f>X140</f>
        <v>0</v>
      </c>
      <c r="Y141" s="330">
        <f>Y140</f>
        <v>3</v>
      </c>
      <c r="Z141" s="559">
        <f t="shared" si="18"/>
        <v>95.818048422597215</v>
      </c>
      <c r="AA141" s="561">
        <f t="shared" si="19"/>
        <v>95.00143636885953</v>
      </c>
      <c r="AB141" s="563" t="str">
        <f t="shared" si="20"/>
        <v xml:space="preserve"> </v>
      </c>
      <c r="AC141" s="561" t="str">
        <f t="shared" si="21"/>
        <v xml:space="preserve"> </v>
      </c>
      <c r="AD141" s="562">
        <f t="shared" si="22"/>
        <v>100.49342105263158</v>
      </c>
    </row>
    <row r="142" spans="2:30" s="416" customFormat="1" ht="15" thickBot="1" x14ac:dyDescent="0.25">
      <c r="B142" s="411" t="s">
        <v>215</v>
      </c>
      <c r="C142" s="412" t="s">
        <v>498</v>
      </c>
      <c r="D142" s="413" t="s">
        <v>213</v>
      </c>
      <c r="E142" s="414" t="s">
        <v>497</v>
      </c>
      <c r="F142" s="404">
        <f t="shared" ref="F142:F145" si="27">SUM(G142:J142)</f>
        <v>5949</v>
      </c>
      <c r="G142" s="403">
        <v>1991</v>
      </c>
      <c r="H142" s="403">
        <v>0</v>
      </c>
      <c r="I142" s="403">
        <v>0</v>
      </c>
      <c r="J142" s="403">
        <v>3958</v>
      </c>
      <c r="K142" s="404">
        <f t="shared" ref="K142:K145" si="28">SUM(L142:O142)</f>
        <v>6119</v>
      </c>
      <c r="L142" s="403">
        <v>2161</v>
      </c>
      <c r="M142" s="403">
        <v>0</v>
      </c>
      <c r="N142" s="403">
        <v>0</v>
      </c>
      <c r="O142" s="403">
        <v>3958</v>
      </c>
      <c r="P142" s="404">
        <f t="shared" ref="P142:P145" si="29">SUM(Q142:T142)</f>
        <v>6520</v>
      </c>
      <c r="Q142" s="403">
        <f>2041+300</f>
        <v>2341</v>
      </c>
      <c r="R142" s="403">
        <v>0</v>
      </c>
      <c r="S142" s="403">
        <v>0</v>
      </c>
      <c r="T142" s="403">
        <v>4179</v>
      </c>
      <c r="U142" s="404">
        <f t="shared" ref="U142:U145" si="30">SUM(V142:Y142)</f>
        <v>571</v>
      </c>
      <c r="V142" s="403">
        <f>Q142-G142</f>
        <v>350</v>
      </c>
      <c r="W142" s="403">
        <v>0</v>
      </c>
      <c r="X142" s="403">
        <v>0</v>
      </c>
      <c r="Y142" s="415">
        <f>T142-J142</f>
        <v>221</v>
      </c>
      <c r="Z142" s="559">
        <f t="shared" si="18"/>
        <v>109.59825180702639</v>
      </c>
      <c r="AA142" s="561">
        <f t="shared" si="19"/>
        <v>117.57910597689603</v>
      </c>
      <c r="AB142" s="563" t="str">
        <f t="shared" si="20"/>
        <v xml:space="preserve"> </v>
      </c>
      <c r="AC142" s="561" t="str">
        <f t="shared" si="21"/>
        <v xml:space="preserve"> </v>
      </c>
      <c r="AD142" s="562">
        <f t="shared" si="22"/>
        <v>105.58362809499748</v>
      </c>
    </row>
    <row r="143" spans="2:30" ht="26.25" thickBot="1" x14ac:dyDescent="0.25">
      <c r="B143" s="336" t="s">
        <v>215</v>
      </c>
      <c r="C143" s="335"/>
      <c r="D143" s="393" t="s">
        <v>213</v>
      </c>
      <c r="E143" s="333" t="s">
        <v>497</v>
      </c>
      <c r="F143" s="34">
        <f t="shared" si="27"/>
        <v>5949</v>
      </c>
      <c r="G143" s="331">
        <f>G142</f>
        <v>1991</v>
      </c>
      <c r="H143" s="331">
        <f>H142</f>
        <v>0</v>
      </c>
      <c r="I143" s="331">
        <f>I142</f>
        <v>0</v>
      </c>
      <c r="J143" s="331">
        <f>J142</f>
        <v>3958</v>
      </c>
      <c r="K143" s="34">
        <f t="shared" si="28"/>
        <v>6119</v>
      </c>
      <c r="L143" s="331">
        <f>L142</f>
        <v>2161</v>
      </c>
      <c r="M143" s="331">
        <f>M142</f>
        <v>0</v>
      </c>
      <c r="N143" s="331">
        <f>N142</f>
        <v>0</v>
      </c>
      <c r="O143" s="331">
        <f>O142</f>
        <v>3958</v>
      </c>
      <c r="P143" s="34">
        <f t="shared" si="29"/>
        <v>6520</v>
      </c>
      <c r="Q143" s="331">
        <f>Q142</f>
        <v>2341</v>
      </c>
      <c r="R143" s="331">
        <f>R142</f>
        <v>0</v>
      </c>
      <c r="S143" s="331">
        <f>S142</f>
        <v>0</v>
      </c>
      <c r="T143" s="331">
        <f>T142</f>
        <v>4179</v>
      </c>
      <c r="U143" s="34">
        <f t="shared" si="30"/>
        <v>571</v>
      </c>
      <c r="V143" s="331">
        <f>V142</f>
        <v>350</v>
      </c>
      <c r="W143" s="331">
        <f>W142</f>
        <v>0</v>
      </c>
      <c r="X143" s="331">
        <f>X142</f>
        <v>0</v>
      </c>
      <c r="Y143" s="330">
        <f>Y142</f>
        <v>221</v>
      </c>
      <c r="Z143" s="559">
        <f t="shared" ref="Z143:Z146" si="31">IF(P143=0," ",IF(F143=0," ",P143/F143*100))</f>
        <v>109.59825180702639</v>
      </c>
      <c r="AA143" s="561">
        <f t="shared" ref="AA143:AA146" si="32">IF(Q143=0," ",IF(G143=0," ",Q143/G143*100))</f>
        <v>117.57910597689603</v>
      </c>
      <c r="AB143" s="563" t="str">
        <f t="shared" ref="AB143:AB146" si="33">IF(R143=0," ",IF(H143=0," ",R143/H143*100))</f>
        <v xml:space="preserve"> </v>
      </c>
      <c r="AC143" s="561" t="str">
        <f t="shared" ref="AC143:AC146" si="34">IF(S143=0," ",IF(I143=0," ",S143/I143*100))</f>
        <v xml:space="preserve"> </v>
      </c>
      <c r="AD143" s="562">
        <f t="shared" ref="AD143:AD146" si="35">IF(T143=0," ",IF(J143=0," ",T143/J143*100))</f>
        <v>105.58362809499748</v>
      </c>
    </row>
    <row r="144" spans="2:30" ht="26.25" thickBot="1" x14ac:dyDescent="0.25">
      <c r="B144" s="339" t="s">
        <v>214</v>
      </c>
      <c r="C144" s="338" t="s">
        <v>496</v>
      </c>
      <c r="D144" s="394" t="s">
        <v>213</v>
      </c>
      <c r="E144" s="35" t="s">
        <v>495</v>
      </c>
      <c r="F144" s="30">
        <f t="shared" si="27"/>
        <v>2849</v>
      </c>
      <c r="G144" s="27">
        <v>2825</v>
      </c>
      <c r="H144" s="27">
        <v>0</v>
      </c>
      <c r="I144" s="27">
        <v>0</v>
      </c>
      <c r="J144" s="27">
        <v>24</v>
      </c>
      <c r="K144" s="30">
        <f t="shared" si="28"/>
        <v>2849</v>
      </c>
      <c r="L144" s="27">
        <v>2825</v>
      </c>
      <c r="M144" s="27">
        <v>0</v>
      </c>
      <c r="N144" s="27">
        <v>0</v>
      </c>
      <c r="O144" s="27">
        <v>24</v>
      </c>
      <c r="P144" s="30">
        <f t="shared" si="29"/>
        <v>2693</v>
      </c>
      <c r="Q144" s="27">
        <v>2684</v>
      </c>
      <c r="R144" s="27">
        <v>0</v>
      </c>
      <c r="S144" s="27">
        <v>0</v>
      </c>
      <c r="T144" s="27">
        <v>9</v>
      </c>
      <c r="U144" s="30">
        <f t="shared" si="30"/>
        <v>-156</v>
      </c>
      <c r="V144" s="27">
        <v>-141</v>
      </c>
      <c r="W144" s="27">
        <v>0</v>
      </c>
      <c r="X144" s="27">
        <v>0</v>
      </c>
      <c r="Y144" s="31">
        <v>-15</v>
      </c>
      <c r="Z144" s="559">
        <f t="shared" si="31"/>
        <v>94.524394524394523</v>
      </c>
      <c r="AA144" s="561">
        <f t="shared" si="32"/>
        <v>95.008849557522126</v>
      </c>
      <c r="AB144" s="563" t="str">
        <f t="shared" si="33"/>
        <v xml:space="preserve"> </v>
      </c>
      <c r="AC144" s="561" t="str">
        <f t="shared" si="34"/>
        <v xml:space="preserve"> </v>
      </c>
      <c r="AD144" s="562">
        <f t="shared" si="35"/>
        <v>37.5</v>
      </c>
    </row>
    <row r="145" spans="2:30" ht="26.25" thickBot="1" x14ac:dyDescent="0.25">
      <c r="B145" s="336" t="s">
        <v>214</v>
      </c>
      <c r="C145" s="335"/>
      <c r="D145" s="393" t="s">
        <v>213</v>
      </c>
      <c r="E145" s="333" t="s">
        <v>495</v>
      </c>
      <c r="F145" s="34">
        <f t="shared" si="27"/>
        <v>2849</v>
      </c>
      <c r="G145" s="331">
        <f>G144</f>
        <v>2825</v>
      </c>
      <c r="H145" s="331">
        <f>H144</f>
        <v>0</v>
      </c>
      <c r="I145" s="331">
        <f>I144</f>
        <v>0</v>
      </c>
      <c r="J145" s="331">
        <f>J144</f>
        <v>24</v>
      </c>
      <c r="K145" s="34">
        <f t="shared" si="28"/>
        <v>2849</v>
      </c>
      <c r="L145" s="331">
        <f>L144</f>
        <v>2825</v>
      </c>
      <c r="M145" s="331">
        <f>M144</f>
        <v>0</v>
      </c>
      <c r="N145" s="331">
        <f>N144</f>
        <v>0</v>
      </c>
      <c r="O145" s="331">
        <f>O144</f>
        <v>24</v>
      </c>
      <c r="P145" s="34">
        <f t="shared" si="29"/>
        <v>2693</v>
      </c>
      <c r="Q145" s="331">
        <f>Q144</f>
        <v>2684</v>
      </c>
      <c r="R145" s="331">
        <f>R144</f>
        <v>0</v>
      </c>
      <c r="S145" s="331">
        <f>S144</f>
        <v>0</v>
      </c>
      <c r="T145" s="331">
        <f>T144</f>
        <v>9</v>
      </c>
      <c r="U145" s="34">
        <f t="shared" si="30"/>
        <v>-156</v>
      </c>
      <c r="V145" s="331">
        <f>V144</f>
        <v>-141</v>
      </c>
      <c r="W145" s="331">
        <f>W144</f>
        <v>0</v>
      </c>
      <c r="X145" s="331">
        <f>X144</f>
        <v>0</v>
      </c>
      <c r="Y145" s="330">
        <f>Y144</f>
        <v>-15</v>
      </c>
      <c r="Z145" s="559">
        <f t="shared" si="31"/>
        <v>94.524394524394523</v>
      </c>
      <c r="AA145" s="561">
        <f t="shared" si="32"/>
        <v>95.008849557522126</v>
      </c>
      <c r="AB145" s="563" t="str">
        <f t="shared" si="33"/>
        <v xml:space="preserve"> </v>
      </c>
      <c r="AC145" s="561" t="str">
        <f t="shared" si="34"/>
        <v xml:space="preserve"> </v>
      </c>
      <c r="AD145" s="562">
        <f t="shared" si="35"/>
        <v>37.5</v>
      </c>
    </row>
    <row r="146" spans="2:30" ht="15.75" thickBot="1" x14ac:dyDescent="0.25">
      <c r="B146" s="716" t="s">
        <v>622</v>
      </c>
      <c r="C146" s="717"/>
      <c r="D146" s="32"/>
      <c r="E146" s="392" t="s">
        <v>212</v>
      </c>
      <c r="F146" s="34">
        <f t="shared" ref="F146:Y146" si="36">F145+F143+F141+F139+F137+F135+F133+F131+F129+F127+F125+F123+F119+F115+F112+F109+F105+F101+F97+F94+F89++F86+F84+F78+F73+F71+F67+F65+F63+F61+F58+F55+F52+F48+F46+F44+F40+F33+F26+F20+F17+F15</f>
        <v>151326</v>
      </c>
      <c r="G146" s="70">
        <f t="shared" si="36"/>
        <v>112898</v>
      </c>
      <c r="H146" s="70">
        <f t="shared" si="36"/>
        <v>95</v>
      </c>
      <c r="I146" s="70">
        <f t="shared" si="36"/>
        <v>95</v>
      </c>
      <c r="J146" s="70">
        <f t="shared" si="36"/>
        <v>38238</v>
      </c>
      <c r="K146" s="34">
        <f t="shared" si="36"/>
        <v>151825.91</v>
      </c>
      <c r="L146" s="70">
        <f t="shared" si="36"/>
        <v>113364.93000000001</v>
      </c>
      <c r="M146" s="70">
        <f t="shared" si="36"/>
        <v>127.98</v>
      </c>
      <c r="N146" s="70">
        <f t="shared" si="36"/>
        <v>95</v>
      </c>
      <c r="O146" s="70">
        <f t="shared" si="36"/>
        <v>38238</v>
      </c>
      <c r="P146" s="34">
        <f t="shared" si="36"/>
        <v>148843</v>
      </c>
      <c r="Q146" s="70">
        <f t="shared" si="36"/>
        <v>108063</v>
      </c>
      <c r="R146" s="70">
        <f t="shared" si="36"/>
        <v>108</v>
      </c>
      <c r="S146" s="70">
        <f t="shared" si="36"/>
        <v>101</v>
      </c>
      <c r="T146" s="70">
        <f t="shared" si="36"/>
        <v>40571</v>
      </c>
      <c r="U146" s="34">
        <f t="shared" si="36"/>
        <v>-2483</v>
      </c>
      <c r="V146" s="70">
        <f>V145+V143+V141+V139+V137+V135+V133+V131+V129+V127+V125+V123+V119+V115+V112+V109+V105+V101+V97+V94+V89++V86+V84+V78+V73+V71+V67+V65+V63+V61+V58+V55+V52+V48+V46+V44+V40+V33+V26+V20+V17+V15</f>
        <v>-4835</v>
      </c>
      <c r="W146" s="70">
        <f t="shared" si="36"/>
        <v>13</v>
      </c>
      <c r="X146" s="70">
        <f t="shared" si="36"/>
        <v>6</v>
      </c>
      <c r="Y146" s="69">
        <f t="shared" si="36"/>
        <v>2333</v>
      </c>
      <c r="Z146" s="559">
        <f t="shared" si="31"/>
        <v>98.359171589812718</v>
      </c>
      <c r="AA146" s="561">
        <f t="shared" si="32"/>
        <v>95.717373204131164</v>
      </c>
      <c r="AB146" s="563">
        <f t="shared" si="33"/>
        <v>113.68421052631578</v>
      </c>
      <c r="AC146" s="561">
        <f t="shared" si="34"/>
        <v>106.31578947368421</v>
      </c>
      <c r="AD146" s="562">
        <f t="shared" si="35"/>
        <v>106.10126052617814</v>
      </c>
    </row>
    <row r="147" spans="2:30" ht="14.25" x14ac:dyDescent="0.2">
      <c r="B147" s="245" t="s">
        <v>621</v>
      </c>
    </row>
  </sheetData>
  <mergeCells count="12">
    <mergeCell ref="Z9:AD9"/>
    <mergeCell ref="AA13:AD13"/>
    <mergeCell ref="B146:C146"/>
    <mergeCell ref="F9:J9"/>
    <mergeCell ref="K9:O9"/>
    <mergeCell ref="P9:T9"/>
    <mergeCell ref="U9:Y9"/>
    <mergeCell ref="B10:C10"/>
    <mergeCell ref="G13:J13"/>
    <mergeCell ref="L13:O13"/>
    <mergeCell ref="Q13:T13"/>
    <mergeCell ref="V13:Y13"/>
  </mergeCells>
  <pageMargins left="0.70866141732283472" right="0.70866141732283472" top="0.78740157480314965" bottom="0.78740157480314965" header="0.31496062992125984" footer="0.31496062992125984"/>
  <pageSetup paperSize="9" scale="4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D98"/>
  <sheetViews>
    <sheetView showGridLines="0" workbookViewId="0">
      <selection activeCell="Z14" sqref="Z14:AD14"/>
    </sheetView>
  </sheetViews>
  <sheetFormatPr defaultRowHeight="12.75" x14ac:dyDescent="0.2"/>
  <cols>
    <col min="1" max="1" width="2.7109375" customWidth="1"/>
    <col min="2" max="2" width="14.7109375" customWidth="1"/>
    <col min="3" max="3" width="6.7109375" customWidth="1"/>
    <col min="4" max="4" width="10.7109375" hidden="1" customWidth="1"/>
    <col min="5" max="5" width="45.7109375" customWidth="1"/>
    <col min="6" max="6" width="12.7109375" style="1" customWidth="1"/>
    <col min="7" max="10" width="9.7109375" style="1"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30" width="9.7109375" style="1" customWidth="1"/>
  </cols>
  <sheetData>
    <row r="2" spans="2:30" ht="21.75" x14ac:dyDescent="0.3">
      <c r="B2" s="2" t="s">
        <v>177</v>
      </c>
      <c r="C2" s="3"/>
      <c r="D2" s="3"/>
      <c r="E2" s="3"/>
      <c r="F2" s="4"/>
      <c r="G2" s="4"/>
      <c r="H2" s="4"/>
      <c r="I2" s="4"/>
      <c r="J2" s="4"/>
      <c r="K2" s="5"/>
      <c r="L2" s="5"/>
      <c r="M2" s="5"/>
      <c r="N2" s="5"/>
      <c r="O2" s="5"/>
      <c r="P2" s="5"/>
      <c r="Q2" s="5"/>
      <c r="R2" s="5"/>
      <c r="S2" s="5"/>
      <c r="T2" s="5"/>
      <c r="U2" s="5"/>
      <c r="V2" s="5"/>
      <c r="W2" s="6" t="s">
        <v>378</v>
      </c>
      <c r="X2" s="5"/>
      <c r="Y2" s="5" t="s">
        <v>211</v>
      </c>
      <c r="Z2" s="5"/>
      <c r="AA2" s="5"/>
      <c r="AB2" s="6" t="s">
        <v>378</v>
      </c>
      <c r="AC2" s="5"/>
      <c r="AD2" s="5" t="s">
        <v>211</v>
      </c>
    </row>
    <row r="3" spans="2:30" ht="15.75" x14ac:dyDescent="0.25">
      <c r="B3" s="7" t="s">
        <v>2</v>
      </c>
      <c r="C3" s="7" t="s">
        <v>283</v>
      </c>
      <c r="D3" s="8"/>
      <c r="E3" s="9"/>
      <c r="F3" s="10"/>
      <c r="G3" s="10"/>
      <c r="H3" s="10"/>
      <c r="I3" s="10"/>
      <c r="J3" s="10"/>
      <c r="K3" s="11"/>
      <c r="L3" s="11"/>
      <c r="M3" s="11"/>
      <c r="N3" s="11"/>
      <c r="O3" s="11"/>
      <c r="P3" s="11"/>
      <c r="Q3" s="11"/>
      <c r="R3" s="11"/>
      <c r="S3" s="11"/>
      <c r="T3" s="11"/>
      <c r="U3" s="11"/>
      <c r="V3" s="11"/>
      <c r="W3" s="11"/>
      <c r="X3" s="11"/>
      <c r="Y3" s="11"/>
      <c r="Z3" s="11"/>
      <c r="AA3" s="11"/>
      <c r="AB3" s="11"/>
      <c r="AC3" s="11"/>
      <c r="AD3" s="11"/>
    </row>
    <row r="4" spans="2:30" ht="15.75" x14ac:dyDescent="0.25">
      <c r="B4" s="8"/>
      <c r="C4" s="7" t="s">
        <v>4</v>
      </c>
      <c r="D4" s="8"/>
      <c r="E4" s="9"/>
      <c r="F4" s="10"/>
      <c r="G4" s="10"/>
      <c r="H4" s="10"/>
      <c r="I4" s="10"/>
      <c r="J4" s="10"/>
      <c r="K4" s="11"/>
      <c r="L4" s="11"/>
      <c r="M4" s="11"/>
      <c r="N4" s="11"/>
      <c r="O4" s="11"/>
      <c r="P4" s="11"/>
      <c r="Q4" s="11"/>
      <c r="R4" s="11"/>
      <c r="S4" s="11"/>
      <c r="T4" s="11"/>
      <c r="U4" s="11"/>
      <c r="V4" s="11"/>
      <c r="W4" s="11"/>
      <c r="X4" s="11"/>
      <c r="Y4" s="11"/>
      <c r="Z4" s="11"/>
      <c r="AA4" s="11"/>
      <c r="AB4" s="11"/>
      <c r="AC4" s="11"/>
      <c r="AD4" s="11"/>
    </row>
    <row r="6" spans="2:30" ht="18" x14ac:dyDescent="0.25">
      <c r="B6" s="396" t="s">
        <v>377</v>
      </c>
      <c r="C6" s="12"/>
      <c r="D6" s="12"/>
      <c r="E6" s="12"/>
      <c r="F6" s="13"/>
      <c r="G6" s="13"/>
      <c r="H6" s="13"/>
      <c r="I6" s="13"/>
      <c r="J6" s="13"/>
      <c r="K6" s="13"/>
      <c r="L6" s="13"/>
      <c r="M6" s="13"/>
      <c r="N6" s="13"/>
      <c r="O6" s="13"/>
      <c r="P6" s="13"/>
      <c r="Q6" s="13"/>
      <c r="R6" s="13"/>
      <c r="S6" s="13"/>
      <c r="T6" s="13"/>
      <c r="U6" s="13"/>
      <c r="V6" s="13"/>
      <c r="W6" s="13"/>
      <c r="X6" s="13"/>
      <c r="Y6" s="13"/>
      <c r="Z6" s="13"/>
      <c r="AA6" s="13"/>
      <c r="AB6" s="13"/>
      <c r="AC6" s="13"/>
      <c r="AD6" s="13"/>
    </row>
    <row r="8" spans="2:30" ht="13.5" thickBot="1" x14ac:dyDescent="0.25">
      <c r="B8" s="201"/>
      <c r="C8" s="201"/>
      <c r="D8" s="201"/>
      <c r="E8" s="201"/>
      <c r="F8" s="200"/>
      <c r="G8" s="200"/>
      <c r="H8" s="200"/>
      <c r="I8" s="200"/>
      <c r="J8" s="200"/>
      <c r="K8" s="200"/>
      <c r="L8" s="200"/>
      <c r="M8" s="200"/>
      <c r="N8" s="200"/>
      <c r="O8" s="200"/>
      <c r="P8" s="200"/>
      <c r="Q8" s="200"/>
      <c r="R8" s="200"/>
      <c r="S8" s="200"/>
      <c r="T8" s="200"/>
      <c r="U8" s="200"/>
      <c r="V8" s="200"/>
      <c r="W8" s="200"/>
      <c r="X8" s="200"/>
      <c r="Y8" s="200" t="s">
        <v>5</v>
      </c>
      <c r="Z8" s="200"/>
      <c r="AA8" s="200"/>
      <c r="AB8" s="200"/>
      <c r="AC8" s="200"/>
      <c r="AD8" s="200" t="s">
        <v>5</v>
      </c>
    </row>
    <row r="9" spans="2:30" x14ac:dyDescent="0.2">
      <c r="B9" s="477"/>
      <c r="C9" s="483"/>
      <c r="D9" s="477"/>
      <c r="E9" s="477"/>
      <c r="F9" s="710" t="s">
        <v>548</v>
      </c>
      <c r="G9" s="711"/>
      <c r="H9" s="711"/>
      <c r="I9" s="711"/>
      <c r="J9" s="712"/>
      <c r="K9" s="710" t="s">
        <v>561</v>
      </c>
      <c r="L9" s="711"/>
      <c r="M9" s="711"/>
      <c r="N9" s="711"/>
      <c r="O9" s="712"/>
      <c r="P9" s="710" t="s">
        <v>558</v>
      </c>
      <c r="Q9" s="711"/>
      <c r="R9" s="711"/>
      <c r="S9" s="711"/>
      <c r="T9" s="712"/>
      <c r="U9" s="710" t="s">
        <v>6</v>
      </c>
      <c r="V9" s="711"/>
      <c r="W9" s="711"/>
      <c r="X9" s="711"/>
      <c r="Y9" s="712"/>
      <c r="Z9" s="710" t="s">
        <v>633</v>
      </c>
      <c r="AA9" s="711"/>
      <c r="AB9" s="711"/>
      <c r="AC9" s="711"/>
      <c r="AD9" s="712"/>
    </row>
    <row r="10" spans="2:30" ht="18" customHeight="1" x14ac:dyDescent="0.2">
      <c r="B10" s="718" t="s">
        <v>7</v>
      </c>
      <c r="C10" s="719"/>
      <c r="D10" s="484" t="s">
        <v>8</v>
      </c>
      <c r="E10" s="485" t="s">
        <v>9</v>
      </c>
      <c r="F10" s="486"/>
      <c r="G10" s="487" t="s">
        <v>10</v>
      </c>
      <c r="H10" s="486"/>
      <c r="I10" s="486"/>
      <c r="J10" s="486"/>
      <c r="K10" s="488"/>
      <c r="L10" s="487" t="s">
        <v>10</v>
      </c>
      <c r="M10" s="486"/>
      <c r="N10" s="486"/>
      <c r="O10" s="486"/>
      <c r="P10" s="488"/>
      <c r="Q10" s="487" t="s">
        <v>10</v>
      </c>
      <c r="R10" s="486"/>
      <c r="S10" s="486"/>
      <c r="T10" s="486"/>
      <c r="U10" s="488"/>
      <c r="V10" s="487" t="s">
        <v>10</v>
      </c>
      <c r="W10" s="489"/>
      <c r="X10" s="489"/>
      <c r="Y10" s="490"/>
      <c r="Z10" s="488"/>
      <c r="AA10" s="487" t="s">
        <v>10</v>
      </c>
      <c r="AB10" s="489"/>
      <c r="AC10" s="489"/>
      <c r="AD10" s="490"/>
    </row>
    <row r="11" spans="2:30" ht="48" customHeight="1" x14ac:dyDescent="0.2">
      <c r="B11" s="491"/>
      <c r="C11" s="492"/>
      <c r="D11" s="491"/>
      <c r="E11" s="491"/>
      <c r="F11" s="493" t="s">
        <v>11</v>
      </c>
      <c r="G11" s="494" t="s">
        <v>12</v>
      </c>
      <c r="H11" s="494" t="s">
        <v>13</v>
      </c>
      <c r="I11" s="494" t="s">
        <v>14</v>
      </c>
      <c r="J11" s="494" t="s">
        <v>15</v>
      </c>
      <c r="K11" s="493" t="s">
        <v>11</v>
      </c>
      <c r="L11" s="494" t="s">
        <v>12</v>
      </c>
      <c r="M11" s="494" t="s">
        <v>13</v>
      </c>
      <c r="N11" s="494" t="s">
        <v>14</v>
      </c>
      <c r="O11" s="494" t="s">
        <v>15</v>
      </c>
      <c r="P11" s="493" t="s">
        <v>11</v>
      </c>
      <c r="Q11" s="494" t="s">
        <v>12</v>
      </c>
      <c r="R11" s="494" t="s">
        <v>13</v>
      </c>
      <c r="S11" s="494" t="s">
        <v>14</v>
      </c>
      <c r="T11" s="494" t="s">
        <v>15</v>
      </c>
      <c r="U11" s="493" t="s">
        <v>11</v>
      </c>
      <c r="V11" s="494" t="s">
        <v>12</v>
      </c>
      <c r="W11" s="494" t="s">
        <v>13</v>
      </c>
      <c r="X11" s="494" t="s">
        <v>14</v>
      </c>
      <c r="Y11" s="495" t="s">
        <v>15</v>
      </c>
      <c r="Z11" s="493" t="s">
        <v>11</v>
      </c>
      <c r="AA11" s="494" t="s">
        <v>12</v>
      </c>
      <c r="AB11" s="494" t="s">
        <v>13</v>
      </c>
      <c r="AC11" s="494" t="s">
        <v>14</v>
      </c>
      <c r="AD11" s="495" t="s">
        <v>15</v>
      </c>
    </row>
    <row r="12" spans="2:30" ht="13.5" thickBot="1" x14ac:dyDescent="0.25">
      <c r="B12" s="496" t="s">
        <v>16</v>
      </c>
      <c r="C12" s="497" t="s">
        <v>17</v>
      </c>
      <c r="D12" s="479"/>
      <c r="E12" s="479"/>
      <c r="F12" s="480"/>
      <c r="G12" s="481" t="s">
        <v>18</v>
      </c>
      <c r="H12" s="481" t="s">
        <v>19</v>
      </c>
      <c r="I12" s="481" t="s">
        <v>20</v>
      </c>
      <c r="J12" s="481" t="s">
        <v>21</v>
      </c>
      <c r="K12" s="480"/>
      <c r="L12" s="481" t="s">
        <v>18</v>
      </c>
      <c r="M12" s="481" t="s">
        <v>19</v>
      </c>
      <c r="N12" s="481" t="s">
        <v>20</v>
      </c>
      <c r="O12" s="481" t="s">
        <v>21</v>
      </c>
      <c r="P12" s="480"/>
      <c r="Q12" s="481" t="s">
        <v>18</v>
      </c>
      <c r="R12" s="481" t="s">
        <v>19</v>
      </c>
      <c r="S12" s="481" t="s">
        <v>20</v>
      </c>
      <c r="T12" s="481" t="s">
        <v>21</v>
      </c>
      <c r="U12" s="480"/>
      <c r="V12" s="481" t="s">
        <v>18</v>
      </c>
      <c r="W12" s="481" t="s">
        <v>19</v>
      </c>
      <c r="X12" s="481" t="s">
        <v>20</v>
      </c>
      <c r="Y12" s="482" t="s">
        <v>21</v>
      </c>
      <c r="Z12" s="480"/>
      <c r="AA12" s="481" t="s">
        <v>18</v>
      </c>
      <c r="AB12" s="481" t="s">
        <v>19</v>
      </c>
      <c r="AC12" s="481" t="s">
        <v>20</v>
      </c>
      <c r="AD12" s="482" t="s">
        <v>21</v>
      </c>
    </row>
    <row r="13" spans="2:30" ht="13.5" thickBot="1" x14ac:dyDescent="0.25">
      <c r="B13" s="499"/>
      <c r="C13" s="500"/>
      <c r="D13" s="499"/>
      <c r="E13" s="499"/>
      <c r="F13" s="501" t="s">
        <v>22</v>
      </c>
      <c r="G13" s="713" t="s">
        <v>22</v>
      </c>
      <c r="H13" s="714"/>
      <c r="I13" s="714"/>
      <c r="J13" s="715"/>
      <c r="K13" s="501" t="s">
        <v>22</v>
      </c>
      <c r="L13" s="713" t="s">
        <v>22</v>
      </c>
      <c r="M13" s="714"/>
      <c r="N13" s="714"/>
      <c r="O13" s="715"/>
      <c r="P13" s="501" t="s">
        <v>22</v>
      </c>
      <c r="Q13" s="713" t="s">
        <v>22</v>
      </c>
      <c r="R13" s="714"/>
      <c r="S13" s="714"/>
      <c r="T13" s="715"/>
      <c r="U13" s="501" t="s">
        <v>22</v>
      </c>
      <c r="V13" s="713" t="s">
        <v>22</v>
      </c>
      <c r="W13" s="714"/>
      <c r="X13" s="714"/>
      <c r="Y13" s="715"/>
      <c r="Z13" s="501" t="s">
        <v>22</v>
      </c>
      <c r="AA13" s="713" t="s">
        <v>22</v>
      </c>
      <c r="AB13" s="714"/>
      <c r="AC13" s="714"/>
      <c r="AD13" s="715"/>
    </row>
    <row r="14" spans="2:30" ht="15" thickBot="1" x14ac:dyDescent="0.25">
      <c r="B14" s="339" t="s">
        <v>376</v>
      </c>
      <c r="C14" s="338" t="s">
        <v>521</v>
      </c>
      <c r="D14" s="394" t="s">
        <v>335</v>
      </c>
      <c r="E14" s="35" t="s">
        <v>375</v>
      </c>
      <c r="F14" s="30">
        <f t="shared" ref="F14:F45" si="0">SUM(G14:J14)</f>
        <v>40</v>
      </c>
      <c r="G14" s="27">
        <v>40</v>
      </c>
      <c r="H14" s="27">
        <v>0</v>
      </c>
      <c r="I14" s="27">
        <v>0</v>
      </c>
      <c r="J14" s="27">
        <v>0</v>
      </c>
      <c r="K14" s="30">
        <f t="shared" ref="K14:K45" si="1">SUM(L14:O14)</f>
        <v>40</v>
      </c>
      <c r="L14" s="27">
        <v>40</v>
      </c>
      <c r="M14" s="27">
        <v>0</v>
      </c>
      <c r="N14" s="27">
        <v>0</v>
      </c>
      <c r="O14" s="27">
        <v>0</v>
      </c>
      <c r="P14" s="30">
        <f t="shared" ref="P14:P45" si="2">SUM(Q14:T14)</f>
        <v>0</v>
      </c>
      <c r="Q14" s="27">
        <v>0</v>
      </c>
      <c r="R14" s="27">
        <v>0</v>
      </c>
      <c r="S14" s="27">
        <v>0</v>
      </c>
      <c r="T14" s="27">
        <v>0</v>
      </c>
      <c r="U14" s="30">
        <f t="shared" ref="U14:U45" si="3">SUM(V14:Y14)</f>
        <v>-40</v>
      </c>
      <c r="V14" s="27">
        <v>-40</v>
      </c>
      <c r="W14" s="27">
        <v>0</v>
      </c>
      <c r="X14" s="27">
        <v>0</v>
      </c>
      <c r="Y14" s="31">
        <v>0</v>
      </c>
      <c r="Z14" s="560" t="str">
        <f>IF(P14=0," ",IF(F14=0," ",P14/F14*100))</f>
        <v xml:space="preserve"> </v>
      </c>
      <c r="AA14" s="561" t="str">
        <f t="shared" ref="AA14:AD14" si="4">IF(Q14=0," ",IF(G14=0," ",Q14/G14*100))</f>
        <v xml:space="preserve"> </v>
      </c>
      <c r="AB14" s="561" t="str">
        <f t="shared" si="4"/>
        <v xml:space="preserve"> </v>
      </c>
      <c r="AC14" s="561" t="str">
        <f t="shared" si="4"/>
        <v xml:space="preserve"> </v>
      </c>
      <c r="AD14" s="562" t="str">
        <f t="shared" si="4"/>
        <v xml:space="preserve"> </v>
      </c>
    </row>
    <row r="15" spans="2:30" ht="15" thickBot="1" x14ac:dyDescent="0.25">
      <c r="B15" s="339" t="s">
        <v>376</v>
      </c>
      <c r="C15" s="338" t="s">
        <v>516</v>
      </c>
      <c r="D15" s="394" t="s">
        <v>335</v>
      </c>
      <c r="E15" s="35" t="s">
        <v>375</v>
      </c>
      <c r="F15" s="30">
        <f t="shared" si="0"/>
        <v>435</v>
      </c>
      <c r="G15" s="27">
        <v>435</v>
      </c>
      <c r="H15" s="27">
        <v>0</v>
      </c>
      <c r="I15" s="27">
        <v>0</v>
      </c>
      <c r="J15" s="27">
        <v>0</v>
      </c>
      <c r="K15" s="30">
        <f t="shared" si="1"/>
        <v>435</v>
      </c>
      <c r="L15" s="27">
        <v>435</v>
      </c>
      <c r="M15" s="27">
        <v>0</v>
      </c>
      <c r="N15" s="27">
        <v>0</v>
      </c>
      <c r="O15" s="27">
        <v>0</v>
      </c>
      <c r="P15" s="30">
        <f t="shared" si="2"/>
        <v>430</v>
      </c>
      <c r="Q15" s="27">
        <v>430</v>
      </c>
      <c r="R15" s="27">
        <v>0</v>
      </c>
      <c r="S15" s="27">
        <v>0</v>
      </c>
      <c r="T15" s="27">
        <v>0</v>
      </c>
      <c r="U15" s="30">
        <f t="shared" si="3"/>
        <v>-5</v>
      </c>
      <c r="V15" s="27">
        <v>-5</v>
      </c>
      <c r="W15" s="27">
        <v>0</v>
      </c>
      <c r="X15" s="27">
        <v>0</v>
      </c>
      <c r="Y15" s="31">
        <v>0</v>
      </c>
      <c r="Z15" s="560">
        <f t="shared" ref="Z15:Z78" si="5">IF(P15=0," ",IF(F15=0," ",P15/F15*100))</f>
        <v>98.850574712643677</v>
      </c>
      <c r="AA15" s="561">
        <f t="shared" ref="AA15:AA78" si="6">IF(Q15=0," ",IF(G15=0," ",Q15/G15*100))</f>
        <v>98.850574712643677</v>
      </c>
      <c r="AB15" s="561" t="str">
        <f t="shared" ref="AB15:AB78" si="7">IF(R15=0," ",IF(H15=0," ",R15/H15*100))</f>
        <v xml:space="preserve"> </v>
      </c>
      <c r="AC15" s="561" t="str">
        <f t="shared" ref="AC15:AC78" si="8">IF(S15=0," ",IF(I15=0," ",S15/I15*100))</f>
        <v xml:space="preserve"> </v>
      </c>
      <c r="AD15" s="562" t="str">
        <f t="shared" ref="AD15:AD78" si="9">IF(T15=0," ",IF(J15=0," ",T15/J15*100))</f>
        <v xml:space="preserve"> </v>
      </c>
    </row>
    <row r="16" spans="2:30" ht="15.75" thickBot="1" x14ac:dyDescent="0.25">
      <c r="B16" s="336" t="s">
        <v>376</v>
      </c>
      <c r="C16" s="335"/>
      <c r="D16" s="393" t="s">
        <v>335</v>
      </c>
      <c r="E16" s="333" t="s">
        <v>375</v>
      </c>
      <c r="F16" s="34">
        <f t="shared" si="0"/>
        <v>475</v>
      </c>
      <c r="G16" s="331">
        <f>SUM(G14:G15)</f>
        <v>475</v>
      </c>
      <c r="H16" s="331">
        <f>SUM(H14:H15)</f>
        <v>0</v>
      </c>
      <c r="I16" s="331">
        <f>SUM(I14:I15)</f>
        <v>0</v>
      </c>
      <c r="J16" s="331">
        <f>SUM(J14:J15)</f>
        <v>0</v>
      </c>
      <c r="K16" s="34">
        <f t="shared" si="1"/>
        <v>475</v>
      </c>
      <c r="L16" s="331">
        <f>SUM(L14:L15)</f>
        <v>475</v>
      </c>
      <c r="M16" s="331">
        <f>SUM(M14:M15)</f>
        <v>0</v>
      </c>
      <c r="N16" s="331">
        <f>SUM(N14:N15)</f>
        <v>0</v>
      </c>
      <c r="O16" s="331">
        <f>SUM(O14:O15)</f>
        <v>0</v>
      </c>
      <c r="P16" s="34">
        <f t="shared" si="2"/>
        <v>430</v>
      </c>
      <c r="Q16" s="331">
        <f>SUM(Q14:Q15)</f>
        <v>430</v>
      </c>
      <c r="R16" s="331">
        <f>SUM(R14:R15)</f>
        <v>0</v>
      </c>
      <c r="S16" s="331">
        <f>SUM(S14:S15)</f>
        <v>0</v>
      </c>
      <c r="T16" s="331">
        <f>SUM(T14:T15)</f>
        <v>0</v>
      </c>
      <c r="U16" s="34">
        <f t="shared" si="3"/>
        <v>-45</v>
      </c>
      <c r="V16" s="331">
        <f>SUM(V14:V15)</f>
        <v>-45</v>
      </c>
      <c r="W16" s="331">
        <f>SUM(W14:W15)</f>
        <v>0</v>
      </c>
      <c r="X16" s="331">
        <f>SUM(X14:X15)</f>
        <v>0</v>
      </c>
      <c r="Y16" s="330">
        <f>SUM(Y14:Y15)</f>
        <v>0</v>
      </c>
      <c r="Z16" s="576">
        <f t="shared" si="5"/>
        <v>90.526315789473685</v>
      </c>
      <c r="AA16" s="565">
        <f t="shared" si="6"/>
        <v>90.526315789473685</v>
      </c>
      <c r="AB16" s="565" t="str">
        <f t="shared" si="7"/>
        <v xml:space="preserve"> </v>
      </c>
      <c r="AC16" s="565" t="str">
        <f t="shared" si="8"/>
        <v xml:space="preserve"> </v>
      </c>
      <c r="AD16" s="567" t="str">
        <f t="shared" si="9"/>
        <v xml:space="preserve"> </v>
      </c>
    </row>
    <row r="17" spans="2:30" ht="15" thickBot="1" x14ac:dyDescent="0.25">
      <c r="B17" s="339" t="s">
        <v>374</v>
      </c>
      <c r="C17" s="338" t="s">
        <v>521</v>
      </c>
      <c r="D17" s="394" t="s">
        <v>335</v>
      </c>
      <c r="E17" s="35" t="s">
        <v>373</v>
      </c>
      <c r="F17" s="30">
        <f t="shared" si="0"/>
        <v>20</v>
      </c>
      <c r="G17" s="27">
        <v>20</v>
      </c>
      <c r="H17" s="27">
        <v>0</v>
      </c>
      <c r="I17" s="27">
        <v>0</v>
      </c>
      <c r="J17" s="27">
        <v>0</v>
      </c>
      <c r="K17" s="30">
        <f t="shared" si="1"/>
        <v>20</v>
      </c>
      <c r="L17" s="27">
        <v>20</v>
      </c>
      <c r="M17" s="27">
        <v>0</v>
      </c>
      <c r="N17" s="27">
        <v>0</v>
      </c>
      <c r="O17" s="27">
        <v>0</v>
      </c>
      <c r="P17" s="30">
        <f t="shared" si="2"/>
        <v>10</v>
      </c>
      <c r="Q17" s="27">
        <v>10</v>
      </c>
      <c r="R17" s="27">
        <v>0</v>
      </c>
      <c r="S17" s="27">
        <v>0</v>
      </c>
      <c r="T17" s="27">
        <v>0</v>
      </c>
      <c r="U17" s="30">
        <f t="shared" si="3"/>
        <v>-10</v>
      </c>
      <c r="V17" s="27">
        <v>-10</v>
      </c>
      <c r="W17" s="27">
        <v>0</v>
      </c>
      <c r="X17" s="27">
        <v>0</v>
      </c>
      <c r="Y17" s="31">
        <v>0</v>
      </c>
      <c r="Z17" s="560">
        <f t="shared" si="5"/>
        <v>50</v>
      </c>
      <c r="AA17" s="561">
        <f t="shared" si="6"/>
        <v>50</v>
      </c>
      <c r="AB17" s="561" t="str">
        <f t="shared" si="7"/>
        <v xml:space="preserve"> </v>
      </c>
      <c r="AC17" s="561" t="str">
        <f t="shared" si="8"/>
        <v xml:space="preserve"> </v>
      </c>
      <c r="AD17" s="562" t="str">
        <f t="shared" si="9"/>
        <v xml:space="preserve"> </v>
      </c>
    </row>
    <row r="18" spans="2:30" ht="15" thickBot="1" x14ac:dyDescent="0.25">
      <c r="B18" s="339" t="s">
        <v>374</v>
      </c>
      <c r="C18" s="338" t="s">
        <v>516</v>
      </c>
      <c r="D18" s="394" t="s">
        <v>335</v>
      </c>
      <c r="E18" s="35" t="s">
        <v>373</v>
      </c>
      <c r="F18" s="30">
        <f t="shared" si="0"/>
        <v>400</v>
      </c>
      <c r="G18" s="27">
        <v>400</v>
      </c>
      <c r="H18" s="27">
        <v>0</v>
      </c>
      <c r="I18" s="27">
        <v>0</v>
      </c>
      <c r="J18" s="27">
        <v>0</v>
      </c>
      <c r="K18" s="30">
        <f t="shared" si="1"/>
        <v>400</v>
      </c>
      <c r="L18" s="27">
        <v>400</v>
      </c>
      <c r="M18" s="27">
        <v>0</v>
      </c>
      <c r="N18" s="27">
        <v>0</v>
      </c>
      <c r="O18" s="27">
        <v>0</v>
      </c>
      <c r="P18" s="30">
        <f t="shared" si="2"/>
        <v>310</v>
      </c>
      <c r="Q18" s="27">
        <v>310</v>
      </c>
      <c r="R18" s="27">
        <v>0</v>
      </c>
      <c r="S18" s="27">
        <v>0</v>
      </c>
      <c r="T18" s="27">
        <v>0</v>
      </c>
      <c r="U18" s="30">
        <f t="shared" si="3"/>
        <v>-90</v>
      </c>
      <c r="V18" s="27">
        <v>-90</v>
      </c>
      <c r="W18" s="27">
        <v>0</v>
      </c>
      <c r="X18" s="27">
        <v>0</v>
      </c>
      <c r="Y18" s="31">
        <v>0</v>
      </c>
      <c r="Z18" s="560">
        <f t="shared" si="5"/>
        <v>77.5</v>
      </c>
      <c r="AA18" s="561">
        <f t="shared" si="6"/>
        <v>77.5</v>
      </c>
      <c r="AB18" s="561" t="str">
        <f t="shared" si="7"/>
        <v xml:space="preserve"> </v>
      </c>
      <c r="AC18" s="561" t="str">
        <f t="shared" si="8"/>
        <v xml:space="preserve"> </v>
      </c>
      <c r="AD18" s="562" t="str">
        <f t="shared" si="9"/>
        <v xml:space="preserve"> </v>
      </c>
    </row>
    <row r="19" spans="2:30" ht="15.75" thickBot="1" x14ac:dyDescent="0.25">
      <c r="B19" s="336" t="s">
        <v>374</v>
      </c>
      <c r="C19" s="335"/>
      <c r="D19" s="393" t="s">
        <v>335</v>
      </c>
      <c r="E19" s="333" t="s">
        <v>373</v>
      </c>
      <c r="F19" s="34">
        <f t="shared" si="0"/>
        <v>420</v>
      </c>
      <c r="G19" s="331">
        <f>SUM(G17:G18)</f>
        <v>420</v>
      </c>
      <c r="H19" s="331">
        <f>SUM(H17:H18)</f>
        <v>0</v>
      </c>
      <c r="I19" s="331">
        <f>SUM(I17:I18)</f>
        <v>0</v>
      </c>
      <c r="J19" s="331">
        <f>SUM(J17:J18)</f>
        <v>0</v>
      </c>
      <c r="K19" s="34">
        <f t="shared" si="1"/>
        <v>420</v>
      </c>
      <c r="L19" s="331">
        <f>SUM(L17:L18)</f>
        <v>420</v>
      </c>
      <c r="M19" s="331">
        <f>SUM(M17:M18)</f>
        <v>0</v>
      </c>
      <c r="N19" s="331">
        <f>SUM(N17:N18)</f>
        <v>0</v>
      </c>
      <c r="O19" s="331">
        <f>SUM(O17:O18)</f>
        <v>0</v>
      </c>
      <c r="P19" s="34">
        <f t="shared" si="2"/>
        <v>320</v>
      </c>
      <c r="Q19" s="331">
        <f>SUM(Q17:Q18)</f>
        <v>320</v>
      </c>
      <c r="R19" s="331">
        <f>SUM(R17:R18)</f>
        <v>0</v>
      </c>
      <c r="S19" s="331">
        <f>SUM(S17:S18)</f>
        <v>0</v>
      </c>
      <c r="T19" s="331">
        <f>SUM(T17:T18)</f>
        <v>0</v>
      </c>
      <c r="U19" s="34">
        <f t="shared" si="3"/>
        <v>-100</v>
      </c>
      <c r="V19" s="331">
        <f>SUM(V17:V18)</f>
        <v>-100</v>
      </c>
      <c r="W19" s="331">
        <f>SUM(W17:W18)</f>
        <v>0</v>
      </c>
      <c r="X19" s="331">
        <f>SUM(X17:X18)</f>
        <v>0</v>
      </c>
      <c r="Y19" s="330">
        <f>SUM(Y17:Y18)</f>
        <v>0</v>
      </c>
      <c r="Z19" s="576">
        <f t="shared" si="5"/>
        <v>76.19047619047619</v>
      </c>
      <c r="AA19" s="565">
        <f t="shared" si="6"/>
        <v>76.19047619047619</v>
      </c>
      <c r="AB19" s="565" t="str">
        <f t="shared" si="7"/>
        <v xml:space="preserve"> </v>
      </c>
      <c r="AC19" s="565" t="str">
        <f t="shared" si="8"/>
        <v xml:space="preserve"> </v>
      </c>
      <c r="AD19" s="567" t="str">
        <f t="shared" si="9"/>
        <v xml:space="preserve"> </v>
      </c>
    </row>
    <row r="20" spans="2:30" ht="15" thickBot="1" x14ac:dyDescent="0.25">
      <c r="B20" s="339" t="s">
        <v>372</v>
      </c>
      <c r="C20" s="338" t="s">
        <v>521</v>
      </c>
      <c r="D20" s="394" t="s">
        <v>335</v>
      </c>
      <c r="E20" s="35" t="s">
        <v>371</v>
      </c>
      <c r="F20" s="30">
        <f t="shared" si="0"/>
        <v>15</v>
      </c>
      <c r="G20" s="27">
        <v>15</v>
      </c>
      <c r="H20" s="27">
        <v>0</v>
      </c>
      <c r="I20" s="27">
        <v>0</v>
      </c>
      <c r="J20" s="27">
        <v>0</v>
      </c>
      <c r="K20" s="30">
        <f t="shared" si="1"/>
        <v>15</v>
      </c>
      <c r="L20" s="27">
        <v>15</v>
      </c>
      <c r="M20" s="27">
        <v>0</v>
      </c>
      <c r="N20" s="27">
        <v>0</v>
      </c>
      <c r="O20" s="27">
        <v>0</v>
      </c>
      <c r="P20" s="30">
        <f t="shared" si="2"/>
        <v>15</v>
      </c>
      <c r="Q20" s="27">
        <v>15</v>
      </c>
      <c r="R20" s="27">
        <v>0</v>
      </c>
      <c r="S20" s="27">
        <v>0</v>
      </c>
      <c r="T20" s="27">
        <v>0</v>
      </c>
      <c r="U20" s="30">
        <f t="shared" si="3"/>
        <v>0</v>
      </c>
      <c r="V20" s="27">
        <v>0</v>
      </c>
      <c r="W20" s="27">
        <v>0</v>
      </c>
      <c r="X20" s="27">
        <v>0</v>
      </c>
      <c r="Y20" s="31">
        <v>0</v>
      </c>
      <c r="Z20" s="560">
        <f t="shared" si="5"/>
        <v>100</v>
      </c>
      <c r="AA20" s="561">
        <f t="shared" si="6"/>
        <v>100</v>
      </c>
      <c r="AB20" s="561" t="str">
        <f t="shared" si="7"/>
        <v xml:space="preserve"> </v>
      </c>
      <c r="AC20" s="561" t="str">
        <f t="shared" si="8"/>
        <v xml:space="preserve"> </v>
      </c>
      <c r="AD20" s="562" t="str">
        <f t="shared" si="9"/>
        <v xml:space="preserve"> </v>
      </c>
    </row>
    <row r="21" spans="2:30" ht="15" thickBot="1" x14ac:dyDescent="0.25">
      <c r="B21" s="339" t="s">
        <v>372</v>
      </c>
      <c r="C21" s="338" t="s">
        <v>516</v>
      </c>
      <c r="D21" s="394" t="s">
        <v>335</v>
      </c>
      <c r="E21" s="35" t="s">
        <v>371</v>
      </c>
      <c r="F21" s="30">
        <f t="shared" si="0"/>
        <v>1788</v>
      </c>
      <c r="G21" s="27">
        <v>1592</v>
      </c>
      <c r="H21" s="27">
        <v>0</v>
      </c>
      <c r="I21" s="27">
        <v>0</v>
      </c>
      <c r="J21" s="27">
        <v>196</v>
      </c>
      <c r="K21" s="30">
        <f t="shared" si="1"/>
        <v>1990</v>
      </c>
      <c r="L21" s="27">
        <v>1592</v>
      </c>
      <c r="M21" s="27">
        <v>202</v>
      </c>
      <c r="N21" s="27">
        <v>0</v>
      </c>
      <c r="O21" s="27">
        <v>196</v>
      </c>
      <c r="P21" s="30">
        <f t="shared" si="2"/>
        <v>1655</v>
      </c>
      <c r="Q21" s="27">
        <v>1472</v>
      </c>
      <c r="R21" s="27">
        <v>0</v>
      </c>
      <c r="S21" s="27">
        <v>0</v>
      </c>
      <c r="T21" s="27">
        <v>183</v>
      </c>
      <c r="U21" s="30">
        <f t="shared" si="3"/>
        <v>-133</v>
      </c>
      <c r="V21" s="27">
        <v>-120</v>
      </c>
      <c r="W21" s="27">
        <v>0</v>
      </c>
      <c r="X21" s="27">
        <v>0</v>
      </c>
      <c r="Y21" s="31">
        <v>-13</v>
      </c>
      <c r="Z21" s="560">
        <f t="shared" si="5"/>
        <v>92.561521252796425</v>
      </c>
      <c r="AA21" s="561">
        <f t="shared" si="6"/>
        <v>92.462311557788951</v>
      </c>
      <c r="AB21" s="561" t="str">
        <f t="shared" si="7"/>
        <v xml:space="preserve"> </v>
      </c>
      <c r="AC21" s="561" t="str">
        <f t="shared" si="8"/>
        <v xml:space="preserve"> </v>
      </c>
      <c r="AD21" s="562">
        <f t="shared" si="9"/>
        <v>93.367346938775512</v>
      </c>
    </row>
    <row r="22" spans="2:30" ht="15" thickBot="1" x14ac:dyDescent="0.25">
      <c r="B22" s="339" t="s">
        <v>372</v>
      </c>
      <c r="C22" s="338" t="s">
        <v>517</v>
      </c>
      <c r="D22" s="394" t="s">
        <v>335</v>
      </c>
      <c r="E22" s="35" t="s">
        <v>371</v>
      </c>
      <c r="F22" s="30">
        <f t="shared" si="0"/>
        <v>8</v>
      </c>
      <c r="G22" s="27">
        <v>8</v>
      </c>
      <c r="H22" s="27">
        <v>0</v>
      </c>
      <c r="I22" s="27">
        <v>0</v>
      </c>
      <c r="J22" s="27">
        <v>0</v>
      </c>
      <c r="K22" s="30">
        <f t="shared" si="1"/>
        <v>8</v>
      </c>
      <c r="L22" s="27">
        <v>8</v>
      </c>
      <c r="M22" s="27">
        <v>0</v>
      </c>
      <c r="N22" s="27">
        <v>0</v>
      </c>
      <c r="O22" s="27">
        <v>0</v>
      </c>
      <c r="P22" s="30">
        <f t="shared" si="2"/>
        <v>10</v>
      </c>
      <c r="Q22" s="27">
        <v>10</v>
      </c>
      <c r="R22" s="27">
        <v>0</v>
      </c>
      <c r="S22" s="27">
        <v>0</v>
      </c>
      <c r="T22" s="27">
        <v>0</v>
      </c>
      <c r="U22" s="30">
        <f t="shared" si="3"/>
        <v>2</v>
      </c>
      <c r="V22" s="27">
        <v>2</v>
      </c>
      <c r="W22" s="27">
        <v>0</v>
      </c>
      <c r="X22" s="27">
        <v>0</v>
      </c>
      <c r="Y22" s="31">
        <v>0</v>
      </c>
      <c r="Z22" s="560">
        <f t="shared" si="5"/>
        <v>125</v>
      </c>
      <c r="AA22" s="561">
        <f t="shared" si="6"/>
        <v>125</v>
      </c>
      <c r="AB22" s="561" t="str">
        <f t="shared" si="7"/>
        <v xml:space="preserve"> </v>
      </c>
      <c r="AC22" s="561" t="str">
        <f t="shared" si="8"/>
        <v xml:space="preserve"> </v>
      </c>
      <c r="AD22" s="562" t="str">
        <f t="shared" si="9"/>
        <v xml:space="preserve"> </v>
      </c>
    </row>
    <row r="23" spans="2:30" ht="15" thickBot="1" x14ac:dyDescent="0.25">
      <c r="B23" s="339" t="s">
        <v>372</v>
      </c>
      <c r="C23" s="338" t="s">
        <v>520</v>
      </c>
      <c r="D23" s="394" t="s">
        <v>335</v>
      </c>
      <c r="E23" s="35" t="s">
        <v>371</v>
      </c>
      <c r="F23" s="30">
        <f t="shared" si="0"/>
        <v>10</v>
      </c>
      <c r="G23" s="27">
        <v>10</v>
      </c>
      <c r="H23" s="27">
        <v>0</v>
      </c>
      <c r="I23" s="27">
        <v>0</v>
      </c>
      <c r="J23" s="27">
        <v>0</v>
      </c>
      <c r="K23" s="30">
        <f t="shared" si="1"/>
        <v>10</v>
      </c>
      <c r="L23" s="27">
        <v>10</v>
      </c>
      <c r="M23" s="27">
        <v>0</v>
      </c>
      <c r="N23" s="27">
        <v>0</v>
      </c>
      <c r="O23" s="27">
        <v>0</v>
      </c>
      <c r="P23" s="30">
        <f t="shared" si="2"/>
        <v>15</v>
      </c>
      <c r="Q23" s="27">
        <v>15</v>
      </c>
      <c r="R23" s="27">
        <v>0</v>
      </c>
      <c r="S23" s="27">
        <v>0</v>
      </c>
      <c r="T23" s="27">
        <v>0</v>
      </c>
      <c r="U23" s="30">
        <f t="shared" si="3"/>
        <v>5</v>
      </c>
      <c r="V23" s="27">
        <v>5</v>
      </c>
      <c r="W23" s="27">
        <v>0</v>
      </c>
      <c r="X23" s="27">
        <v>0</v>
      </c>
      <c r="Y23" s="31">
        <v>0</v>
      </c>
      <c r="Z23" s="560">
        <f t="shared" si="5"/>
        <v>150</v>
      </c>
      <c r="AA23" s="561">
        <f t="shared" si="6"/>
        <v>150</v>
      </c>
      <c r="AB23" s="561" t="str">
        <f t="shared" si="7"/>
        <v xml:space="preserve"> </v>
      </c>
      <c r="AC23" s="561" t="str">
        <f t="shared" si="8"/>
        <v xml:space="preserve"> </v>
      </c>
      <c r="AD23" s="562" t="str">
        <f t="shared" si="9"/>
        <v xml:space="preserve"> </v>
      </c>
    </row>
    <row r="24" spans="2:30" ht="15" thickBot="1" x14ac:dyDescent="0.25">
      <c r="B24" s="339" t="s">
        <v>372</v>
      </c>
      <c r="C24" s="338" t="s">
        <v>496</v>
      </c>
      <c r="D24" s="394" t="s">
        <v>335</v>
      </c>
      <c r="E24" s="35" t="s">
        <v>371</v>
      </c>
      <c r="F24" s="30">
        <f t="shared" si="0"/>
        <v>65</v>
      </c>
      <c r="G24" s="27">
        <v>65</v>
      </c>
      <c r="H24" s="27">
        <v>0</v>
      </c>
      <c r="I24" s="27">
        <v>0</v>
      </c>
      <c r="J24" s="27">
        <v>0</v>
      </c>
      <c r="K24" s="30">
        <f t="shared" si="1"/>
        <v>65</v>
      </c>
      <c r="L24" s="27">
        <v>65</v>
      </c>
      <c r="M24" s="27">
        <v>0</v>
      </c>
      <c r="N24" s="27">
        <v>0</v>
      </c>
      <c r="O24" s="27">
        <v>0</v>
      </c>
      <c r="P24" s="30">
        <f t="shared" si="2"/>
        <v>78</v>
      </c>
      <c r="Q24" s="27">
        <v>78</v>
      </c>
      <c r="R24" s="27">
        <v>0</v>
      </c>
      <c r="S24" s="27">
        <v>0</v>
      </c>
      <c r="T24" s="27">
        <v>0</v>
      </c>
      <c r="U24" s="30">
        <f t="shared" si="3"/>
        <v>13</v>
      </c>
      <c r="V24" s="27">
        <v>13</v>
      </c>
      <c r="W24" s="27">
        <v>0</v>
      </c>
      <c r="X24" s="27">
        <v>0</v>
      </c>
      <c r="Y24" s="31">
        <v>0</v>
      </c>
      <c r="Z24" s="560">
        <f t="shared" si="5"/>
        <v>120</v>
      </c>
      <c r="AA24" s="561">
        <f t="shared" si="6"/>
        <v>120</v>
      </c>
      <c r="AB24" s="561" t="str">
        <f t="shared" si="7"/>
        <v xml:space="preserve"> </v>
      </c>
      <c r="AC24" s="561" t="str">
        <f t="shared" si="8"/>
        <v xml:space="preserve"> </v>
      </c>
      <c r="AD24" s="562" t="str">
        <f t="shared" si="9"/>
        <v xml:space="preserve"> </v>
      </c>
    </row>
    <row r="25" spans="2:30" ht="15.75" thickBot="1" x14ac:dyDescent="0.25">
      <c r="B25" s="336" t="s">
        <v>372</v>
      </c>
      <c r="C25" s="335"/>
      <c r="D25" s="393" t="s">
        <v>335</v>
      </c>
      <c r="E25" s="333" t="s">
        <v>371</v>
      </c>
      <c r="F25" s="34">
        <f t="shared" si="0"/>
        <v>1886</v>
      </c>
      <c r="G25" s="331">
        <f>SUM(G20:G24)</f>
        <v>1690</v>
      </c>
      <c r="H25" s="331">
        <f>SUM(H20:H24)</f>
        <v>0</v>
      </c>
      <c r="I25" s="331">
        <f>SUM(I20:I24)</f>
        <v>0</v>
      </c>
      <c r="J25" s="331">
        <f>SUM(J20:J24)</f>
        <v>196</v>
      </c>
      <c r="K25" s="34">
        <f t="shared" si="1"/>
        <v>2088</v>
      </c>
      <c r="L25" s="331">
        <f>SUM(L20:L24)</f>
        <v>1690</v>
      </c>
      <c r="M25" s="331">
        <f>SUM(M20:M24)</f>
        <v>202</v>
      </c>
      <c r="N25" s="331">
        <f>SUM(N20:N24)</f>
        <v>0</v>
      </c>
      <c r="O25" s="331">
        <f>SUM(O20:O24)</f>
        <v>196</v>
      </c>
      <c r="P25" s="34">
        <f t="shared" si="2"/>
        <v>1773</v>
      </c>
      <c r="Q25" s="331">
        <f>SUM(Q20:Q24)</f>
        <v>1590</v>
      </c>
      <c r="R25" s="331">
        <f>SUM(R20:R24)</f>
        <v>0</v>
      </c>
      <c r="S25" s="331">
        <f>SUM(S20:S24)</f>
        <v>0</v>
      </c>
      <c r="T25" s="331">
        <f>SUM(T20:T24)</f>
        <v>183</v>
      </c>
      <c r="U25" s="34">
        <f t="shared" si="3"/>
        <v>-113</v>
      </c>
      <c r="V25" s="331">
        <f>SUM(V20:V24)</f>
        <v>-100</v>
      </c>
      <c r="W25" s="331">
        <f>SUM(W20:W24)</f>
        <v>0</v>
      </c>
      <c r="X25" s="331">
        <f>SUM(X20:X24)</f>
        <v>0</v>
      </c>
      <c r="Y25" s="330">
        <f>SUM(Y20:Y24)</f>
        <v>-13</v>
      </c>
      <c r="Z25" s="576">
        <f t="shared" si="5"/>
        <v>94.008483563096505</v>
      </c>
      <c r="AA25" s="565">
        <f t="shared" si="6"/>
        <v>94.082840236686394</v>
      </c>
      <c r="AB25" s="565" t="str">
        <f t="shared" si="7"/>
        <v xml:space="preserve"> </v>
      </c>
      <c r="AC25" s="565" t="str">
        <f t="shared" si="8"/>
        <v xml:space="preserve"> </v>
      </c>
      <c r="AD25" s="567">
        <f t="shared" si="9"/>
        <v>93.367346938775512</v>
      </c>
    </row>
    <row r="26" spans="2:30" ht="15" thickBot="1" x14ac:dyDescent="0.25">
      <c r="B26" s="339" t="s">
        <v>370</v>
      </c>
      <c r="C26" s="338" t="s">
        <v>521</v>
      </c>
      <c r="D26" s="394" t="s">
        <v>335</v>
      </c>
      <c r="E26" s="35" t="s">
        <v>369</v>
      </c>
      <c r="F26" s="30">
        <f t="shared" si="0"/>
        <v>597</v>
      </c>
      <c r="G26" s="27">
        <v>597</v>
      </c>
      <c r="H26" s="27">
        <v>0</v>
      </c>
      <c r="I26" s="27">
        <v>0</v>
      </c>
      <c r="J26" s="27">
        <v>0</v>
      </c>
      <c r="K26" s="30">
        <f t="shared" si="1"/>
        <v>597</v>
      </c>
      <c r="L26" s="27">
        <v>597</v>
      </c>
      <c r="M26" s="27">
        <v>0</v>
      </c>
      <c r="N26" s="27">
        <v>0</v>
      </c>
      <c r="O26" s="27">
        <v>0</v>
      </c>
      <c r="P26" s="30">
        <f t="shared" si="2"/>
        <v>555</v>
      </c>
      <c r="Q26" s="27">
        <v>555</v>
      </c>
      <c r="R26" s="27">
        <v>0</v>
      </c>
      <c r="S26" s="27">
        <v>0</v>
      </c>
      <c r="T26" s="27">
        <v>0</v>
      </c>
      <c r="U26" s="30">
        <f t="shared" si="3"/>
        <v>-42</v>
      </c>
      <c r="V26" s="27">
        <v>-42</v>
      </c>
      <c r="W26" s="27">
        <v>0</v>
      </c>
      <c r="X26" s="27">
        <v>0</v>
      </c>
      <c r="Y26" s="31">
        <v>0</v>
      </c>
      <c r="Z26" s="560">
        <f t="shared" si="5"/>
        <v>92.964824120603012</v>
      </c>
      <c r="AA26" s="561">
        <f t="shared" si="6"/>
        <v>92.964824120603012</v>
      </c>
      <c r="AB26" s="561" t="str">
        <f t="shared" si="7"/>
        <v xml:space="preserve"> </v>
      </c>
      <c r="AC26" s="561" t="str">
        <f t="shared" si="8"/>
        <v xml:space="preserve"> </v>
      </c>
      <c r="AD26" s="562" t="str">
        <f t="shared" si="9"/>
        <v xml:space="preserve"> </v>
      </c>
    </row>
    <row r="27" spans="2:30" ht="15" thickBot="1" x14ac:dyDescent="0.25">
      <c r="B27" s="339" t="s">
        <v>370</v>
      </c>
      <c r="C27" s="338" t="s">
        <v>516</v>
      </c>
      <c r="D27" s="394" t="s">
        <v>335</v>
      </c>
      <c r="E27" s="35" t="s">
        <v>369</v>
      </c>
      <c r="F27" s="30">
        <f t="shared" si="0"/>
        <v>830</v>
      </c>
      <c r="G27" s="27">
        <v>800</v>
      </c>
      <c r="H27" s="27">
        <v>0</v>
      </c>
      <c r="I27" s="27">
        <v>0</v>
      </c>
      <c r="J27" s="27">
        <v>30</v>
      </c>
      <c r="K27" s="30">
        <f t="shared" si="1"/>
        <v>830</v>
      </c>
      <c r="L27" s="27">
        <v>800</v>
      </c>
      <c r="M27" s="27">
        <v>0</v>
      </c>
      <c r="N27" s="27">
        <v>0</v>
      </c>
      <c r="O27" s="27">
        <v>30</v>
      </c>
      <c r="P27" s="30">
        <f t="shared" si="2"/>
        <v>817</v>
      </c>
      <c r="Q27" s="27">
        <v>786</v>
      </c>
      <c r="R27" s="27">
        <v>0</v>
      </c>
      <c r="S27" s="27">
        <v>0</v>
      </c>
      <c r="T27" s="27">
        <v>31</v>
      </c>
      <c r="U27" s="30">
        <f t="shared" si="3"/>
        <v>-13</v>
      </c>
      <c r="V27" s="27">
        <v>-14</v>
      </c>
      <c r="W27" s="27">
        <v>0</v>
      </c>
      <c r="X27" s="27">
        <v>0</v>
      </c>
      <c r="Y27" s="31">
        <v>1</v>
      </c>
      <c r="Z27" s="560">
        <f t="shared" si="5"/>
        <v>98.433734939759034</v>
      </c>
      <c r="AA27" s="561">
        <f t="shared" si="6"/>
        <v>98.25</v>
      </c>
      <c r="AB27" s="561" t="str">
        <f t="shared" si="7"/>
        <v xml:space="preserve"> </v>
      </c>
      <c r="AC27" s="561" t="str">
        <f t="shared" si="8"/>
        <v xml:space="preserve"> </v>
      </c>
      <c r="AD27" s="562">
        <f t="shared" si="9"/>
        <v>103.33333333333334</v>
      </c>
    </row>
    <row r="28" spans="2:30" ht="15" thickBot="1" x14ac:dyDescent="0.25">
      <c r="B28" s="339" t="s">
        <v>370</v>
      </c>
      <c r="C28" s="338" t="s">
        <v>514</v>
      </c>
      <c r="D28" s="394" t="s">
        <v>335</v>
      </c>
      <c r="E28" s="35" t="s">
        <v>369</v>
      </c>
      <c r="F28" s="30">
        <f t="shared" si="0"/>
        <v>95</v>
      </c>
      <c r="G28" s="27">
        <v>95</v>
      </c>
      <c r="H28" s="27">
        <v>0</v>
      </c>
      <c r="I28" s="27">
        <v>0</v>
      </c>
      <c r="J28" s="27">
        <v>0</v>
      </c>
      <c r="K28" s="30">
        <f t="shared" si="1"/>
        <v>95</v>
      </c>
      <c r="L28" s="27">
        <v>95</v>
      </c>
      <c r="M28" s="27">
        <v>0</v>
      </c>
      <c r="N28" s="27">
        <v>0</v>
      </c>
      <c r="O28" s="27">
        <v>0</v>
      </c>
      <c r="P28" s="30">
        <f t="shared" si="2"/>
        <v>85</v>
      </c>
      <c r="Q28" s="27">
        <v>85</v>
      </c>
      <c r="R28" s="27">
        <v>0</v>
      </c>
      <c r="S28" s="27">
        <v>0</v>
      </c>
      <c r="T28" s="27">
        <v>0</v>
      </c>
      <c r="U28" s="30">
        <f t="shared" si="3"/>
        <v>-10</v>
      </c>
      <c r="V28" s="27">
        <v>-10</v>
      </c>
      <c r="W28" s="27">
        <v>0</v>
      </c>
      <c r="X28" s="27">
        <v>0</v>
      </c>
      <c r="Y28" s="31">
        <v>0</v>
      </c>
      <c r="Z28" s="560">
        <f t="shared" si="5"/>
        <v>89.473684210526315</v>
      </c>
      <c r="AA28" s="561">
        <f t="shared" si="6"/>
        <v>89.473684210526315</v>
      </c>
      <c r="AB28" s="561" t="str">
        <f t="shared" si="7"/>
        <v xml:space="preserve"> </v>
      </c>
      <c r="AC28" s="561" t="str">
        <f t="shared" si="8"/>
        <v xml:space="preserve"> </v>
      </c>
      <c r="AD28" s="562" t="str">
        <f t="shared" si="9"/>
        <v xml:space="preserve"> </v>
      </c>
    </row>
    <row r="29" spans="2:30" ht="15" thickBot="1" x14ac:dyDescent="0.25">
      <c r="B29" s="339" t="s">
        <v>370</v>
      </c>
      <c r="C29" s="338" t="s">
        <v>498</v>
      </c>
      <c r="D29" s="394" t="s">
        <v>335</v>
      </c>
      <c r="E29" s="35" t="s">
        <v>369</v>
      </c>
      <c r="F29" s="30">
        <f t="shared" si="0"/>
        <v>210</v>
      </c>
      <c r="G29" s="27">
        <v>210</v>
      </c>
      <c r="H29" s="27">
        <v>0</v>
      </c>
      <c r="I29" s="27">
        <v>0</v>
      </c>
      <c r="J29" s="27">
        <v>0</v>
      </c>
      <c r="K29" s="30">
        <f t="shared" si="1"/>
        <v>210</v>
      </c>
      <c r="L29" s="27">
        <v>210</v>
      </c>
      <c r="M29" s="27">
        <v>0</v>
      </c>
      <c r="N29" s="27">
        <v>0</v>
      </c>
      <c r="O29" s="27">
        <v>0</v>
      </c>
      <c r="P29" s="30">
        <f t="shared" si="2"/>
        <v>195</v>
      </c>
      <c r="Q29" s="27">
        <v>195</v>
      </c>
      <c r="R29" s="27">
        <v>0</v>
      </c>
      <c r="S29" s="27">
        <v>0</v>
      </c>
      <c r="T29" s="27">
        <v>0</v>
      </c>
      <c r="U29" s="30">
        <f t="shared" si="3"/>
        <v>-15</v>
      </c>
      <c r="V29" s="27">
        <v>-15</v>
      </c>
      <c r="W29" s="27">
        <v>0</v>
      </c>
      <c r="X29" s="27">
        <v>0</v>
      </c>
      <c r="Y29" s="31">
        <v>0</v>
      </c>
      <c r="Z29" s="560">
        <f t="shared" si="5"/>
        <v>92.857142857142861</v>
      </c>
      <c r="AA29" s="561">
        <f t="shared" si="6"/>
        <v>92.857142857142861</v>
      </c>
      <c r="AB29" s="561" t="str">
        <f t="shared" si="7"/>
        <v xml:space="preserve"> </v>
      </c>
      <c r="AC29" s="561" t="str">
        <f t="shared" si="8"/>
        <v xml:space="preserve"> </v>
      </c>
      <c r="AD29" s="562" t="str">
        <f t="shared" si="9"/>
        <v xml:space="preserve"> </v>
      </c>
    </row>
    <row r="30" spans="2:30" ht="15" thickBot="1" x14ac:dyDescent="0.25">
      <c r="B30" s="339" t="s">
        <v>370</v>
      </c>
      <c r="C30" s="338" t="s">
        <v>520</v>
      </c>
      <c r="D30" s="394" t="s">
        <v>335</v>
      </c>
      <c r="E30" s="35" t="s">
        <v>369</v>
      </c>
      <c r="F30" s="30">
        <f t="shared" si="0"/>
        <v>105</v>
      </c>
      <c r="G30" s="27">
        <v>105</v>
      </c>
      <c r="H30" s="27">
        <v>0</v>
      </c>
      <c r="I30" s="27">
        <v>0</v>
      </c>
      <c r="J30" s="27">
        <v>0</v>
      </c>
      <c r="K30" s="30">
        <f t="shared" si="1"/>
        <v>105</v>
      </c>
      <c r="L30" s="27">
        <v>105</v>
      </c>
      <c r="M30" s="27">
        <v>0</v>
      </c>
      <c r="N30" s="27">
        <v>0</v>
      </c>
      <c r="O30" s="27">
        <v>0</v>
      </c>
      <c r="P30" s="30">
        <f t="shared" si="2"/>
        <v>100</v>
      </c>
      <c r="Q30" s="27">
        <v>100</v>
      </c>
      <c r="R30" s="27">
        <v>0</v>
      </c>
      <c r="S30" s="27">
        <v>0</v>
      </c>
      <c r="T30" s="27">
        <v>0</v>
      </c>
      <c r="U30" s="30">
        <f t="shared" si="3"/>
        <v>-5</v>
      </c>
      <c r="V30" s="27">
        <v>-5</v>
      </c>
      <c r="W30" s="27">
        <v>0</v>
      </c>
      <c r="X30" s="27">
        <v>0</v>
      </c>
      <c r="Y30" s="31">
        <v>0</v>
      </c>
      <c r="Z30" s="560">
        <f t="shared" si="5"/>
        <v>95.238095238095227</v>
      </c>
      <c r="AA30" s="561">
        <f t="shared" si="6"/>
        <v>95.238095238095227</v>
      </c>
      <c r="AB30" s="561" t="str">
        <f t="shared" si="7"/>
        <v xml:space="preserve"> </v>
      </c>
      <c r="AC30" s="561" t="str">
        <f t="shared" si="8"/>
        <v xml:space="preserve"> </v>
      </c>
      <c r="AD30" s="562" t="str">
        <f t="shared" si="9"/>
        <v xml:space="preserve"> </v>
      </c>
    </row>
    <row r="31" spans="2:30" ht="15" thickBot="1" x14ac:dyDescent="0.25">
      <c r="B31" s="339" t="s">
        <v>370</v>
      </c>
      <c r="C31" s="338" t="s">
        <v>519</v>
      </c>
      <c r="D31" s="394" t="s">
        <v>335</v>
      </c>
      <c r="E31" s="35" t="s">
        <v>369</v>
      </c>
      <c r="F31" s="30">
        <f t="shared" si="0"/>
        <v>210</v>
      </c>
      <c r="G31" s="27">
        <v>210</v>
      </c>
      <c r="H31" s="27">
        <v>0</v>
      </c>
      <c r="I31" s="27">
        <v>0</v>
      </c>
      <c r="J31" s="27">
        <v>0</v>
      </c>
      <c r="K31" s="30">
        <f t="shared" si="1"/>
        <v>210</v>
      </c>
      <c r="L31" s="27">
        <v>210</v>
      </c>
      <c r="M31" s="27">
        <v>0</v>
      </c>
      <c r="N31" s="27">
        <v>0</v>
      </c>
      <c r="O31" s="27">
        <v>0</v>
      </c>
      <c r="P31" s="30">
        <f t="shared" si="2"/>
        <v>195</v>
      </c>
      <c r="Q31" s="27">
        <v>195</v>
      </c>
      <c r="R31" s="27">
        <v>0</v>
      </c>
      <c r="S31" s="27">
        <v>0</v>
      </c>
      <c r="T31" s="27">
        <v>0</v>
      </c>
      <c r="U31" s="30">
        <f t="shared" si="3"/>
        <v>-15</v>
      </c>
      <c r="V31" s="27">
        <v>-15</v>
      </c>
      <c r="W31" s="27">
        <v>0</v>
      </c>
      <c r="X31" s="27">
        <v>0</v>
      </c>
      <c r="Y31" s="31">
        <v>0</v>
      </c>
      <c r="Z31" s="560">
        <f t="shared" si="5"/>
        <v>92.857142857142861</v>
      </c>
      <c r="AA31" s="561">
        <f t="shared" si="6"/>
        <v>92.857142857142861</v>
      </c>
      <c r="AB31" s="561" t="str">
        <f t="shared" si="7"/>
        <v xml:space="preserve"> </v>
      </c>
      <c r="AC31" s="561" t="str">
        <f t="shared" si="8"/>
        <v xml:space="preserve"> </v>
      </c>
      <c r="AD31" s="562" t="str">
        <f t="shared" si="9"/>
        <v xml:space="preserve"> </v>
      </c>
    </row>
    <row r="32" spans="2:30" ht="15.75" thickBot="1" x14ac:dyDescent="0.25">
      <c r="B32" s="336" t="s">
        <v>370</v>
      </c>
      <c r="C32" s="335"/>
      <c r="D32" s="393" t="s">
        <v>335</v>
      </c>
      <c r="E32" s="333" t="s">
        <v>369</v>
      </c>
      <c r="F32" s="34">
        <f t="shared" si="0"/>
        <v>2047</v>
      </c>
      <c r="G32" s="331">
        <f>SUM(G26:G31)</f>
        <v>2017</v>
      </c>
      <c r="H32" s="331">
        <f>SUM(H26:H31)</f>
        <v>0</v>
      </c>
      <c r="I32" s="331">
        <f>SUM(I26:I31)</f>
        <v>0</v>
      </c>
      <c r="J32" s="331">
        <f>SUM(J26:J31)</f>
        <v>30</v>
      </c>
      <c r="K32" s="34">
        <f t="shared" si="1"/>
        <v>2047</v>
      </c>
      <c r="L32" s="331">
        <f>SUM(L26:L31)</f>
        <v>2017</v>
      </c>
      <c r="M32" s="331">
        <f>SUM(M26:M31)</f>
        <v>0</v>
      </c>
      <c r="N32" s="331">
        <f>SUM(N26:N31)</f>
        <v>0</v>
      </c>
      <c r="O32" s="331">
        <f>SUM(O26:O31)</f>
        <v>30</v>
      </c>
      <c r="P32" s="34">
        <f t="shared" si="2"/>
        <v>1947</v>
      </c>
      <c r="Q32" s="331">
        <f>SUM(Q26:Q31)</f>
        <v>1916</v>
      </c>
      <c r="R32" s="331">
        <f>SUM(R26:R31)</f>
        <v>0</v>
      </c>
      <c r="S32" s="331">
        <f>SUM(S26:S31)</f>
        <v>0</v>
      </c>
      <c r="T32" s="331">
        <f>SUM(T26:T31)</f>
        <v>31</v>
      </c>
      <c r="U32" s="34">
        <f t="shared" si="3"/>
        <v>-100</v>
      </c>
      <c r="V32" s="331">
        <f>SUM(V26:V31)</f>
        <v>-101</v>
      </c>
      <c r="W32" s="331">
        <f>SUM(W26:W31)</f>
        <v>0</v>
      </c>
      <c r="X32" s="331">
        <f>SUM(X26:X31)</f>
        <v>0</v>
      </c>
      <c r="Y32" s="330">
        <f>SUM(Y26:Y31)</f>
        <v>1</v>
      </c>
      <c r="Z32" s="576">
        <f t="shared" si="5"/>
        <v>95.114802149487048</v>
      </c>
      <c r="AA32" s="565">
        <f t="shared" si="6"/>
        <v>94.992563212692119</v>
      </c>
      <c r="AB32" s="565" t="str">
        <f t="shared" si="7"/>
        <v xml:space="preserve"> </v>
      </c>
      <c r="AC32" s="565" t="str">
        <f t="shared" si="8"/>
        <v xml:space="preserve"> </v>
      </c>
      <c r="AD32" s="567">
        <f t="shared" si="9"/>
        <v>103.33333333333334</v>
      </c>
    </row>
    <row r="33" spans="2:30" ht="15" thickBot="1" x14ac:dyDescent="0.25">
      <c r="B33" s="339" t="s">
        <v>368</v>
      </c>
      <c r="C33" s="338" t="s">
        <v>521</v>
      </c>
      <c r="D33" s="394" t="s">
        <v>335</v>
      </c>
      <c r="E33" s="35" t="s">
        <v>367</v>
      </c>
      <c r="F33" s="30">
        <f t="shared" si="0"/>
        <v>0</v>
      </c>
      <c r="G33" s="27">
        <v>0</v>
      </c>
      <c r="H33" s="27">
        <v>0</v>
      </c>
      <c r="I33" s="27">
        <v>0</v>
      </c>
      <c r="J33" s="27">
        <v>0</v>
      </c>
      <c r="K33" s="30">
        <f t="shared" si="1"/>
        <v>0</v>
      </c>
      <c r="L33" s="27">
        <v>0</v>
      </c>
      <c r="M33" s="27">
        <v>0</v>
      </c>
      <c r="N33" s="27">
        <v>0</v>
      </c>
      <c r="O33" s="27">
        <v>0</v>
      </c>
      <c r="P33" s="30">
        <f t="shared" si="2"/>
        <v>340</v>
      </c>
      <c r="Q33" s="27">
        <v>340</v>
      </c>
      <c r="R33" s="27">
        <v>0</v>
      </c>
      <c r="S33" s="27">
        <v>0</v>
      </c>
      <c r="T33" s="27">
        <v>0</v>
      </c>
      <c r="U33" s="30">
        <f t="shared" si="3"/>
        <v>340</v>
      </c>
      <c r="V33" s="27">
        <v>340</v>
      </c>
      <c r="W33" s="27">
        <v>0</v>
      </c>
      <c r="X33" s="27">
        <v>0</v>
      </c>
      <c r="Y33" s="31">
        <v>0</v>
      </c>
      <c r="Z33" s="560" t="str">
        <f t="shared" si="5"/>
        <v xml:space="preserve"> </v>
      </c>
      <c r="AA33" s="561" t="str">
        <f t="shared" si="6"/>
        <v xml:space="preserve"> </v>
      </c>
      <c r="AB33" s="561" t="str">
        <f t="shared" si="7"/>
        <v xml:space="preserve"> </v>
      </c>
      <c r="AC33" s="561" t="str">
        <f t="shared" si="8"/>
        <v xml:space="preserve"> </v>
      </c>
      <c r="AD33" s="562" t="str">
        <f t="shared" si="9"/>
        <v xml:space="preserve"> </v>
      </c>
    </row>
    <row r="34" spans="2:30" ht="15" thickBot="1" x14ac:dyDescent="0.25">
      <c r="B34" s="339" t="s">
        <v>368</v>
      </c>
      <c r="C34" s="338" t="s">
        <v>516</v>
      </c>
      <c r="D34" s="394" t="s">
        <v>335</v>
      </c>
      <c r="E34" s="35" t="s">
        <v>367</v>
      </c>
      <c r="F34" s="30">
        <f t="shared" si="0"/>
        <v>2775</v>
      </c>
      <c r="G34" s="27">
        <v>1600</v>
      </c>
      <c r="H34" s="27">
        <v>0</v>
      </c>
      <c r="I34" s="27">
        <v>0</v>
      </c>
      <c r="J34" s="27">
        <v>1175</v>
      </c>
      <c r="K34" s="30">
        <f t="shared" si="1"/>
        <v>2775</v>
      </c>
      <c r="L34" s="27">
        <v>1600</v>
      </c>
      <c r="M34" s="27">
        <v>0</v>
      </c>
      <c r="N34" s="27">
        <v>0</v>
      </c>
      <c r="O34" s="27">
        <v>1175</v>
      </c>
      <c r="P34" s="30">
        <f t="shared" si="2"/>
        <v>2891</v>
      </c>
      <c r="Q34" s="27">
        <v>1500</v>
      </c>
      <c r="R34" s="27">
        <v>0</v>
      </c>
      <c r="S34" s="27">
        <v>0</v>
      </c>
      <c r="T34" s="27">
        <v>1391</v>
      </c>
      <c r="U34" s="30">
        <f t="shared" si="3"/>
        <v>116</v>
      </c>
      <c r="V34" s="27">
        <v>-100</v>
      </c>
      <c r="W34" s="27">
        <v>0</v>
      </c>
      <c r="X34" s="27">
        <v>0</v>
      </c>
      <c r="Y34" s="31">
        <v>216</v>
      </c>
      <c r="Z34" s="560">
        <f t="shared" si="5"/>
        <v>104.18018018018019</v>
      </c>
      <c r="AA34" s="561">
        <f t="shared" si="6"/>
        <v>93.75</v>
      </c>
      <c r="AB34" s="561" t="str">
        <f t="shared" si="7"/>
        <v xml:space="preserve"> </v>
      </c>
      <c r="AC34" s="561" t="str">
        <f t="shared" si="8"/>
        <v xml:space="preserve"> </v>
      </c>
      <c r="AD34" s="562">
        <f t="shared" si="9"/>
        <v>118.38297872340426</v>
      </c>
    </row>
    <row r="35" spans="2:30" ht="15" thickBot="1" x14ac:dyDescent="0.25">
      <c r="B35" s="339" t="s">
        <v>368</v>
      </c>
      <c r="C35" s="338" t="s">
        <v>517</v>
      </c>
      <c r="D35" s="394" t="s">
        <v>335</v>
      </c>
      <c r="E35" s="35" t="s">
        <v>367</v>
      </c>
      <c r="F35" s="30">
        <f t="shared" si="0"/>
        <v>1000</v>
      </c>
      <c r="G35" s="27">
        <v>1000</v>
      </c>
      <c r="H35" s="27">
        <v>0</v>
      </c>
      <c r="I35" s="27">
        <v>0</v>
      </c>
      <c r="J35" s="27">
        <v>0</v>
      </c>
      <c r="K35" s="30">
        <f t="shared" si="1"/>
        <v>1000</v>
      </c>
      <c r="L35" s="27">
        <v>1000</v>
      </c>
      <c r="M35" s="27">
        <v>0</v>
      </c>
      <c r="N35" s="27">
        <v>0</v>
      </c>
      <c r="O35" s="27">
        <v>0</v>
      </c>
      <c r="P35" s="30">
        <f t="shared" si="2"/>
        <v>1000</v>
      </c>
      <c r="Q35" s="27">
        <v>1000</v>
      </c>
      <c r="R35" s="27">
        <v>0</v>
      </c>
      <c r="S35" s="27">
        <v>0</v>
      </c>
      <c r="T35" s="27">
        <v>0</v>
      </c>
      <c r="U35" s="30">
        <f t="shared" si="3"/>
        <v>0</v>
      </c>
      <c r="V35" s="27">
        <v>0</v>
      </c>
      <c r="W35" s="27">
        <v>0</v>
      </c>
      <c r="X35" s="27">
        <v>0</v>
      </c>
      <c r="Y35" s="31">
        <v>0</v>
      </c>
      <c r="Z35" s="560">
        <f t="shared" si="5"/>
        <v>100</v>
      </c>
      <c r="AA35" s="561">
        <f t="shared" si="6"/>
        <v>100</v>
      </c>
      <c r="AB35" s="561" t="str">
        <f t="shared" si="7"/>
        <v xml:space="preserve"> </v>
      </c>
      <c r="AC35" s="561" t="str">
        <f t="shared" si="8"/>
        <v xml:space="preserve"> </v>
      </c>
      <c r="AD35" s="562" t="str">
        <f t="shared" si="9"/>
        <v xml:space="preserve"> </v>
      </c>
    </row>
    <row r="36" spans="2:30" ht="15" thickBot="1" x14ac:dyDescent="0.25">
      <c r="B36" s="339" t="s">
        <v>368</v>
      </c>
      <c r="C36" s="338" t="s">
        <v>520</v>
      </c>
      <c r="D36" s="394" t="s">
        <v>335</v>
      </c>
      <c r="E36" s="35" t="s">
        <v>367</v>
      </c>
      <c r="F36" s="30">
        <f t="shared" si="0"/>
        <v>70</v>
      </c>
      <c r="G36" s="27">
        <v>70</v>
      </c>
      <c r="H36" s="27">
        <v>0</v>
      </c>
      <c r="I36" s="27">
        <v>0</v>
      </c>
      <c r="J36" s="27">
        <v>0</v>
      </c>
      <c r="K36" s="30">
        <f t="shared" si="1"/>
        <v>70</v>
      </c>
      <c r="L36" s="27">
        <v>70</v>
      </c>
      <c r="M36" s="27">
        <v>0</v>
      </c>
      <c r="N36" s="27">
        <v>0</v>
      </c>
      <c r="O36" s="27">
        <v>0</v>
      </c>
      <c r="P36" s="30">
        <f t="shared" si="2"/>
        <v>70</v>
      </c>
      <c r="Q36" s="27">
        <v>70</v>
      </c>
      <c r="R36" s="27">
        <v>0</v>
      </c>
      <c r="S36" s="27">
        <v>0</v>
      </c>
      <c r="T36" s="27">
        <v>0</v>
      </c>
      <c r="U36" s="30">
        <f t="shared" si="3"/>
        <v>0</v>
      </c>
      <c r="V36" s="27">
        <v>0</v>
      </c>
      <c r="W36" s="27">
        <v>0</v>
      </c>
      <c r="X36" s="27">
        <v>0</v>
      </c>
      <c r="Y36" s="31">
        <v>0</v>
      </c>
      <c r="Z36" s="560">
        <f t="shared" si="5"/>
        <v>100</v>
      </c>
      <c r="AA36" s="561">
        <f t="shared" si="6"/>
        <v>100</v>
      </c>
      <c r="AB36" s="561" t="str">
        <f t="shared" si="7"/>
        <v xml:space="preserve"> </v>
      </c>
      <c r="AC36" s="561" t="str">
        <f t="shared" si="8"/>
        <v xml:space="preserve"> </v>
      </c>
      <c r="AD36" s="562" t="str">
        <f t="shared" si="9"/>
        <v xml:space="preserve"> </v>
      </c>
    </row>
    <row r="37" spans="2:30" ht="15" thickBot="1" x14ac:dyDescent="0.25">
      <c r="B37" s="339" t="s">
        <v>368</v>
      </c>
      <c r="C37" s="338" t="s">
        <v>500</v>
      </c>
      <c r="D37" s="394" t="s">
        <v>335</v>
      </c>
      <c r="E37" s="35" t="s">
        <v>367</v>
      </c>
      <c r="F37" s="30">
        <f t="shared" si="0"/>
        <v>3500</v>
      </c>
      <c r="G37" s="27">
        <v>3500</v>
      </c>
      <c r="H37" s="27">
        <v>0</v>
      </c>
      <c r="I37" s="27">
        <v>0</v>
      </c>
      <c r="J37" s="27">
        <v>0</v>
      </c>
      <c r="K37" s="30">
        <f t="shared" si="1"/>
        <v>3500</v>
      </c>
      <c r="L37" s="27">
        <v>3500</v>
      </c>
      <c r="M37" s="27">
        <v>0</v>
      </c>
      <c r="N37" s="27">
        <v>0</v>
      </c>
      <c r="O37" s="27">
        <v>0</v>
      </c>
      <c r="P37" s="30">
        <f t="shared" si="2"/>
        <v>3052</v>
      </c>
      <c r="Q37" s="27">
        <v>3052</v>
      </c>
      <c r="R37" s="27">
        <v>0</v>
      </c>
      <c r="S37" s="27">
        <v>0</v>
      </c>
      <c r="T37" s="27">
        <v>0</v>
      </c>
      <c r="U37" s="30">
        <f t="shared" si="3"/>
        <v>-448</v>
      </c>
      <c r="V37" s="27">
        <v>-448</v>
      </c>
      <c r="W37" s="27">
        <v>0</v>
      </c>
      <c r="X37" s="27">
        <v>0</v>
      </c>
      <c r="Y37" s="31">
        <v>0</v>
      </c>
      <c r="Z37" s="560">
        <f t="shared" si="5"/>
        <v>87.2</v>
      </c>
      <c r="AA37" s="561">
        <f t="shared" si="6"/>
        <v>87.2</v>
      </c>
      <c r="AB37" s="561" t="str">
        <f t="shared" si="7"/>
        <v xml:space="preserve"> </v>
      </c>
      <c r="AC37" s="561" t="str">
        <f t="shared" si="8"/>
        <v xml:space="preserve"> </v>
      </c>
      <c r="AD37" s="562" t="str">
        <f t="shared" si="9"/>
        <v xml:space="preserve"> </v>
      </c>
    </row>
    <row r="38" spans="2:30" ht="15.75" thickBot="1" x14ac:dyDescent="0.25">
      <c r="B38" s="336" t="s">
        <v>368</v>
      </c>
      <c r="C38" s="335"/>
      <c r="D38" s="393" t="s">
        <v>335</v>
      </c>
      <c r="E38" s="333" t="s">
        <v>367</v>
      </c>
      <c r="F38" s="34">
        <f t="shared" si="0"/>
        <v>7345</v>
      </c>
      <c r="G38" s="331">
        <f>SUM(G33:G37)</f>
        <v>6170</v>
      </c>
      <c r="H38" s="331">
        <f>SUM(H33:H37)</f>
        <v>0</v>
      </c>
      <c r="I38" s="331">
        <f>SUM(I33:I37)</f>
        <v>0</v>
      </c>
      <c r="J38" s="331">
        <f>SUM(J33:J37)</f>
        <v>1175</v>
      </c>
      <c r="K38" s="34">
        <f t="shared" si="1"/>
        <v>7345</v>
      </c>
      <c r="L38" s="331">
        <f>SUM(L33:L37)</f>
        <v>6170</v>
      </c>
      <c r="M38" s="331">
        <f>SUM(M33:M37)</f>
        <v>0</v>
      </c>
      <c r="N38" s="331">
        <f>SUM(N33:N37)</f>
        <v>0</v>
      </c>
      <c r="O38" s="331">
        <f>SUM(O33:O37)</f>
        <v>1175</v>
      </c>
      <c r="P38" s="34">
        <f t="shared" si="2"/>
        <v>7353</v>
      </c>
      <c r="Q38" s="331">
        <f>SUM(Q33:Q37)</f>
        <v>5962</v>
      </c>
      <c r="R38" s="331">
        <f>SUM(R33:R37)</f>
        <v>0</v>
      </c>
      <c r="S38" s="331">
        <f>SUM(S33:S37)</f>
        <v>0</v>
      </c>
      <c r="T38" s="331">
        <f>SUM(T33:T37)</f>
        <v>1391</v>
      </c>
      <c r="U38" s="34">
        <f t="shared" si="3"/>
        <v>8</v>
      </c>
      <c r="V38" s="331">
        <f>SUM(V33:V37)</f>
        <v>-208</v>
      </c>
      <c r="W38" s="331">
        <f>SUM(W33:W37)</f>
        <v>0</v>
      </c>
      <c r="X38" s="331">
        <f>SUM(X33:X37)</f>
        <v>0</v>
      </c>
      <c r="Y38" s="330">
        <f>SUM(Y33:Y37)</f>
        <v>216</v>
      </c>
      <c r="Z38" s="576">
        <f t="shared" si="5"/>
        <v>100.10891763104152</v>
      </c>
      <c r="AA38" s="565">
        <f t="shared" si="6"/>
        <v>96.628849270664503</v>
      </c>
      <c r="AB38" s="565" t="str">
        <f t="shared" si="7"/>
        <v xml:space="preserve"> </v>
      </c>
      <c r="AC38" s="565" t="str">
        <f t="shared" si="8"/>
        <v xml:space="preserve"> </v>
      </c>
      <c r="AD38" s="567">
        <f t="shared" si="9"/>
        <v>118.38297872340426</v>
      </c>
    </row>
    <row r="39" spans="2:30" ht="15" thickBot="1" x14ac:dyDescent="0.25">
      <c r="B39" s="339" t="s">
        <v>366</v>
      </c>
      <c r="C39" s="338" t="s">
        <v>515</v>
      </c>
      <c r="D39" s="394" t="s">
        <v>335</v>
      </c>
      <c r="E39" s="35" t="s">
        <v>365</v>
      </c>
      <c r="F39" s="30">
        <f t="shared" si="0"/>
        <v>4568</v>
      </c>
      <c r="G39" s="27">
        <v>3173</v>
      </c>
      <c r="H39" s="27">
        <v>0</v>
      </c>
      <c r="I39" s="27">
        <v>0</v>
      </c>
      <c r="J39" s="27">
        <v>1395</v>
      </c>
      <c r="K39" s="30">
        <f t="shared" si="1"/>
        <v>4568</v>
      </c>
      <c r="L39" s="27">
        <v>3173</v>
      </c>
      <c r="M39" s="27">
        <v>0</v>
      </c>
      <c r="N39" s="27">
        <v>0</v>
      </c>
      <c r="O39" s="27">
        <v>1395</v>
      </c>
      <c r="P39" s="30">
        <f t="shared" si="2"/>
        <v>4462</v>
      </c>
      <c r="Q39" s="27">
        <v>3101</v>
      </c>
      <c r="R39" s="27">
        <v>0</v>
      </c>
      <c r="S39" s="27">
        <v>0</v>
      </c>
      <c r="T39" s="27">
        <v>1361</v>
      </c>
      <c r="U39" s="30">
        <f t="shared" si="3"/>
        <v>-106</v>
      </c>
      <c r="V39" s="27">
        <v>-72</v>
      </c>
      <c r="W39" s="27">
        <v>0</v>
      </c>
      <c r="X39" s="27">
        <v>0</v>
      </c>
      <c r="Y39" s="31">
        <v>-34</v>
      </c>
      <c r="Z39" s="560">
        <f t="shared" si="5"/>
        <v>97.679509632224168</v>
      </c>
      <c r="AA39" s="561">
        <f t="shared" si="6"/>
        <v>97.730854081311065</v>
      </c>
      <c r="AB39" s="561" t="str">
        <f t="shared" si="7"/>
        <v xml:space="preserve"> </v>
      </c>
      <c r="AC39" s="561" t="str">
        <f t="shared" si="8"/>
        <v xml:space="preserve"> </v>
      </c>
      <c r="AD39" s="562">
        <f t="shared" si="9"/>
        <v>97.562724014336922</v>
      </c>
    </row>
    <row r="40" spans="2:30" ht="15" thickBot="1" x14ac:dyDescent="0.25">
      <c r="B40" s="339" t="s">
        <v>366</v>
      </c>
      <c r="C40" s="338" t="s">
        <v>498</v>
      </c>
      <c r="D40" s="394" t="s">
        <v>335</v>
      </c>
      <c r="E40" s="35" t="s">
        <v>365</v>
      </c>
      <c r="F40" s="30">
        <f t="shared" si="0"/>
        <v>615</v>
      </c>
      <c r="G40" s="27">
        <v>549</v>
      </c>
      <c r="H40" s="27">
        <v>0</v>
      </c>
      <c r="I40" s="27">
        <v>0</v>
      </c>
      <c r="J40" s="27">
        <v>66</v>
      </c>
      <c r="K40" s="30">
        <f t="shared" si="1"/>
        <v>615</v>
      </c>
      <c r="L40" s="27">
        <v>549</v>
      </c>
      <c r="M40" s="27">
        <v>0</v>
      </c>
      <c r="N40" s="27">
        <v>0</v>
      </c>
      <c r="O40" s="27">
        <v>66</v>
      </c>
      <c r="P40" s="30">
        <f t="shared" si="2"/>
        <v>547</v>
      </c>
      <c r="Q40" s="27">
        <v>435</v>
      </c>
      <c r="R40" s="27">
        <v>0</v>
      </c>
      <c r="S40" s="27">
        <v>0</v>
      </c>
      <c r="T40" s="27">
        <v>112</v>
      </c>
      <c r="U40" s="30">
        <f t="shared" si="3"/>
        <v>-68</v>
      </c>
      <c r="V40" s="27">
        <v>-114</v>
      </c>
      <c r="W40" s="27">
        <v>0</v>
      </c>
      <c r="X40" s="27">
        <v>0</v>
      </c>
      <c r="Y40" s="31">
        <v>46</v>
      </c>
      <c r="Z40" s="560">
        <f t="shared" si="5"/>
        <v>88.943089430894304</v>
      </c>
      <c r="AA40" s="561">
        <f t="shared" si="6"/>
        <v>79.234972677595621</v>
      </c>
      <c r="AB40" s="561" t="str">
        <f t="shared" si="7"/>
        <v xml:space="preserve"> </v>
      </c>
      <c r="AC40" s="561" t="str">
        <f t="shared" si="8"/>
        <v xml:space="preserve"> </v>
      </c>
      <c r="AD40" s="562">
        <f t="shared" si="9"/>
        <v>169.69696969696969</v>
      </c>
    </row>
    <row r="41" spans="2:30" ht="15.75" thickBot="1" x14ac:dyDescent="0.25">
      <c r="B41" s="336" t="s">
        <v>366</v>
      </c>
      <c r="C41" s="335"/>
      <c r="D41" s="393" t="s">
        <v>335</v>
      </c>
      <c r="E41" s="333" t="s">
        <v>365</v>
      </c>
      <c r="F41" s="34">
        <f t="shared" si="0"/>
        <v>5183</v>
      </c>
      <c r="G41" s="331">
        <f>SUM(G39:G40)</f>
        <v>3722</v>
      </c>
      <c r="H41" s="331">
        <f>SUM(H39:H40)</f>
        <v>0</v>
      </c>
      <c r="I41" s="331">
        <f>SUM(I39:I40)</f>
        <v>0</v>
      </c>
      <c r="J41" s="331">
        <f>SUM(J39:J40)</f>
        <v>1461</v>
      </c>
      <c r="K41" s="34">
        <f t="shared" si="1"/>
        <v>5183</v>
      </c>
      <c r="L41" s="331">
        <f>SUM(L39:L40)</f>
        <v>3722</v>
      </c>
      <c r="M41" s="331">
        <f>SUM(M39:M40)</f>
        <v>0</v>
      </c>
      <c r="N41" s="331">
        <f>SUM(N39:N40)</f>
        <v>0</v>
      </c>
      <c r="O41" s="331">
        <f>SUM(O39:O40)</f>
        <v>1461</v>
      </c>
      <c r="P41" s="34">
        <f t="shared" si="2"/>
        <v>5009</v>
      </c>
      <c r="Q41" s="331">
        <f>SUM(Q39:Q40)</f>
        <v>3536</v>
      </c>
      <c r="R41" s="331">
        <f>SUM(R39:R40)</f>
        <v>0</v>
      </c>
      <c r="S41" s="331">
        <f>SUM(S39:S40)</f>
        <v>0</v>
      </c>
      <c r="T41" s="331">
        <f>SUM(T39:T40)</f>
        <v>1473</v>
      </c>
      <c r="U41" s="34">
        <f t="shared" si="3"/>
        <v>-174</v>
      </c>
      <c r="V41" s="331">
        <f>SUM(V39:V40)</f>
        <v>-186</v>
      </c>
      <c r="W41" s="331">
        <f>SUM(W39:W40)</f>
        <v>0</v>
      </c>
      <c r="X41" s="331">
        <f>SUM(X39:X40)</f>
        <v>0</v>
      </c>
      <c r="Y41" s="330">
        <f>SUM(Y39:Y40)</f>
        <v>12</v>
      </c>
      <c r="Z41" s="576">
        <f t="shared" si="5"/>
        <v>96.642870924175185</v>
      </c>
      <c r="AA41" s="565">
        <f t="shared" si="6"/>
        <v>95.002686727565816</v>
      </c>
      <c r="AB41" s="565" t="str">
        <f t="shared" si="7"/>
        <v xml:space="preserve"> </v>
      </c>
      <c r="AC41" s="565" t="str">
        <f t="shared" si="8"/>
        <v xml:space="preserve"> </v>
      </c>
      <c r="AD41" s="567">
        <f t="shared" si="9"/>
        <v>100.82135523613962</v>
      </c>
    </row>
    <row r="42" spans="2:30" ht="15" thickBot="1" x14ac:dyDescent="0.25">
      <c r="B42" s="339" t="s">
        <v>364</v>
      </c>
      <c r="C42" s="338" t="s">
        <v>515</v>
      </c>
      <c r="D42" s="394" t="s">
        <v>335</v>
      </c>
      <c r="E42" s="35" t="s">
        <v>363</v>
      </c>
      <c r="F42" s="30">
        <f t="shared" si="0"/>
        <v>2661</v>
      </c>
      <c r="G42" s="27">
        <v>2413</v>
      </c>
      <c r="H42" s="27">
        <v>0</v>
      </c>
      <c r="I42" s="27">
        <v>0</v>
      </c>
      <c r="J42" s="27">
        <v>248</v>
      </c>
      <c r="K42" s="30">
        <f t="shared" si="1"/>
        <v>2661</v>
      </c>
      <c r="L42" s="27">
        <v>2413</v>
      </c>
      <c r="M42" s="27">
        <v>0</v>
      </c>
      <c r="N42" s="27">
        <v>0</v>
      </c>
      <c r="O42" s="27">
        <v>248</v>
      </c>
      <c r="P42" s="30">
        <f t="shared" si="2"/>
        <v>2526</v>
      </c>
      <c r="Q42" s="27">
        <v>2293</v>
      </c>
      <c r="R42" s="27">
        <v>0</v>
      </c>
      <c r="S42" s="27">
        <v>0</v>
      </c>
      <c r="T42" s="27">
        <v>233</v>
      </c>
      <c r="U42" s="30">
        <f t="shared" si="3"/>
        <v>-135</v>
      </c>
      <c r="V42" s="27">
        <v>-120</v>
      </c>
      <c r="W42" s="27">
        <v>0</v>
      </c>
      <c r="X42" s="27">
        <v>0</v>
      </c>
      <c r="Y42" s="31">
        <v>-15</v>
      </c>
      <c r="Z42" s="560">
        <f t="shared" si="5"/>
        <v>94.926719278466749</v>
      </c>
      <c r="AA42" s="561">
        <f t="shared" si="6"/>
        <v>95.026937422295902</v>
      </c>
      <c r="AB42" s="561" t="str">
        <f t="shared" si="7"/>
        <v xml:space="preserve"> </v>
      </c>
      <c r="AC42" s="561" t="str">
        <f t="shared" si="8"/>
        <v xml:space="preserve"> </v>
      </c>
      <c r="AD42" s="562">
        <f t="shared" si="9"/>
        <v>93.951612903225808</v>
      </c>
    </row>
    <row r="43" spans="2:30" ht="15" thickBot="1" x14ac:dyDescent="0.25">
      <c r="B43" s="339" t="s">
        <v>364</v>
      </c>
      <c r="C43" s="338" t="s">
        <v>498</v>
      </c>
      <c r="D43" s="394" t="s">
        <v>335</v>
      </c>
      <c r="E43" s="35" t="s">
        <v>363</v>
      </c>
      <c r="F43" s="30">
        <f t="shared" si="0"/>
        <v>470</v>
      </c>
      <c r="G43" s="27">
        <v>470</v>
      </c>
      <c r="H43" s="27">
        <v>0</v>
      </c>
      <c r="I43" s="27">
        <v>0</v>
      </c>
      <c r="J43" s="27">
        <v>0</v>
      </c>
      <c r="K43" s="30">
        <f t="shared" si="1"/>
        <v>470</v>
      </c>
      <c r="L43" s="27">
        <v>470</v>
      </c>
      <c r="M43" s="27">
        <v>0</v>
      </c>
      <c r="N43" s="27">
        <v>0</v>
      </c>
      <c r="O43" s="27">
        <v>0</v>
      </c>
      <c r="P43" s="30">
        <f t="shared" si="2"/>
        <v>446</v>
      </c>
      <c r="Q43" s="27">
        <v>446</v>
      </c>
      <c r="R43" s="27">
        <v>0</v>
      </c>
      <c r="S43" s="27">
        <v>0</v>
      </c>
      <c r="T43" s="27">
        <v>0</v>
      </c>
      <c r="U43" s="30">
        <f t="shared" si="3"/>
        <v>-24</v>
      </c>
      <c r="V43" s="27">
        <v>-24</v>
      </c>
      <c r="W43" s="27">
        <v>0</v>
      </c>
      <c r="X43" s="27">
        <v>0</v>
      </c>
      <c r="Y43" s="31">
        <v>0</v>
      </c>
      <c r="Z43" s="560">
        <f t="shared" si="5"/>
        <v>94.893617021276597</v>
      </c>
      <c r="AA43" s="561">
        <f t="shared" si="6"/>
        <v>94.893617021276597</v>
      </c>
      <c r="AB43" s="561" t="str">
        <f t="shared" si="7"/>
        <v xml:space="preserve"> </v>
      </c>
      <c r="AC43" s="561" t="str">
        <f t="shared" si="8"/>
        <v xml:space="preserve"> </v>
      </c>
      <c r="AD43" s="562" t="str">
        <f t="shared" si="9"/>
        <v xml:space="preserve"> </v>
      </c>
    </row>
    <row r="44" spans="2:30" ht="15.75" thickBot="1" x14ac:dyDescent="0.25">
      <c r="B44" s="336" t="s">
        <v>364</v>
      </c>
      <c r="C44" s="335"/>
      <c r="D44" s="393" t="s">
        <v>335</v>
      </c>
      <c r="E44" s="333" t="s">
        <v>363</v>
      </c>
      <c r="F44" s="34">
        <f t="shared" si="0"/>
        <v>3131</v>
      </c>
      <c r="G44" s="331">
        <f>SUM(G42:G43)</f>
        <v>2883</v>
      </c>
      <c r="H44" s="331">
        <f>SUM(H42:H43)</f>
        <v>0</v>
      </c>
      <c r="I44" s="331">
        <f>SUM(I42:I43)</f>
        <v>0</v>
      </c>
      <c r="J44" s="331">
        <f>SUM(J42:J43)</f>
        <v>248</v>
      </c>
      <c r="K44" s="34">
        <f t="shared" si="1"/>
        <v>3131</v>
      </c>
      <c r="L44" s="331">
        <f>SUM(L42:L43)</f>
        <v>2883</v>
      </c>
      <c r="M44" s="331">
        <f>SUM(M42:M43)</f>
        <v>0</v>
      </c>
      <c r="N44" s="331">
        <f>SUM(N42:N43)</f>
        <v>0</v>
      </c>
      <c r="O44" s="331">
        <f>SUM(O42:O43)</f>
        <v>248</v>
      </c>
      <c r="P44" s="34">
        <f t="shared" si="2"/>
        <v>2972</v>
      </c>
      <c r="Q44" s="331">
        <f>SUM(Q42:Q43)</f>
        <v>2739</v>
      </c>
      <c r="R44" s="331">
        <f>SUM(R42:R43)</f>
        <v>0</v>
      </c>
      <c r="S44" s="331">
        <f>SUM(S42:S43)</f>
        <v>0</v>
      </c>
      <c r="T44" s="331">
        <f>SUM(T42:T43)</f>
        <v>233</v>
      </c>
      <c r="U44" s="34">
        <f t="shared" si="3"/>
        <v>-159</v>
      </c>
      <c r="V44" s="331">
        <f>SUM(V42:V43)</f>
        <v>-144</v>
      </c>
      <c r="W44" s="331">
        <f>SUM(W42:W43)</f>
        <v>0</v>
      </c>
      <c r="X44" s="331">
        <f>SUM(X42:X43)</f>
        <v>0</v>
      </c>
      <c r="Y44" s="330">
        <f>SUM(Y42:Y43)</f>
        <v>-15</v>
      </c>
      <c r="Z44" s="576">
        <f t="shared" si="5"/>
        <v>94.921750239540074</v>
      </c>
      <c r="AA44" s="565">
        <f t="shared" si="6"/>
        <v>95.005202913631635</v>
      </c>
      <c r="AB44" s="565" t="str">
        <f t="shared" si="7"/>
        <v xml:space="preserve"> </v>
      </c>
      <c r="AC44" s="565" t="str">
        <f t="shared" si="8"/>
        <v xml:space="preserve"> </v>
      </c>
      <c r="AD44" s="567">
        <f t="shared" si="9"/>
        <v>93.951612903225808</v>
      </c>
    </row>
    <row r="45" spans="2:30" ht="15" thickBot="1" x14ac:dyDescent="0.25">
      <c r="B45" s="339" t="s">
        <v>362</v>
      </c>
      <c r="C45" s="338" t="s">
        <v>511</v>
      </c>
      <c r="D45" s="394" t="s">
        <v>335</v>
      </c>
      <c r="E45" s="35" t="s">
        <v>537</v>
      </c>
      <c r="F45" s="30">
        <f t="shared" si="0"/>
        <v>6461</v>
      </c>
      <c r="G45" s="27">
        <v>3261</v>
      </c>
      <c r="H45" s="27">
        <v>0</v>
      </c>
      <c r="I45" s="27">
        <v>0</v>
      </c>
      <c r="J45" s="27">
        <v>3200</v>
      </c>
      <c r="K45" s="30">
        <f t="shared" si="1"/>
        <v>6461</v>
      </c>
      <c r="L45" s="27">
        <v>3261</v>
      </c>
      <c r="M45" s="27">
        <v>0</v>
      </c>
      <c r="N45" s="27">
        <v>0</v>
      </c>
      <c r="O45" s="27">
        <v>3200</v>
      </c>
      <c r="P45" s="30">
        <f t="shared" si="2"/>
        <v>6295</v>
      </c>
      <c r="Q45" s="27">
        <v>3000</v>
      </c>
      <c r="R45" s="27">
        <v>0</v>
      </c>
      <c r="S45" s="27">
        <v>0</v>
      </c>
      <c r="T45" s="27">
        <v>3295</v>
      </c>
      <c r="U45" s="30">
        <f t="shared" si="3"/>
        <v>-166</v>
      </c>
      <c r="V45" s="27">
        <v>-261</v>
      </c>
      <c r="W45" s="27">
        <v>0</v>
      </c>
      <c r="X45" s="27">
        <v>0</v>
      </c>
      <c r="Y45" s="31">
        <v>95</v>
      </c>
      <c r="Z45" s="560">
        <f t="shared" si="5"/>
        <v>97.430738275808707</v>
      </c>
      <c r="AA45" s="561">
        <f t="shared" si="6"/>
        <v>91.996320147194112</v>
      </c>
      <c r="AB45" s="561" t="str">
        <f t="shared" si="7"/>
        <v xml:space="preserve"> </v>
      </c>
      <c r="AC45" s="561" t="str">
        <f t="shared" si="8"/>
        <v xml:space="preserve"> </v>
      </c>
      <c r="AD45" s="562">
        <f t="shared" si="9"/>
        <v>102.96875000000001</v>
      </c>
    </row>
    <row r="46" spans="2:30" ht="15" thickBot="1" x14ac:dyDescent="0.25">
      <c r="B46" s="339" t="s">
        <v>362</v>
      </c>
      <c r="C46" s="338" t="s">
        <v>498</v>
      </c>
      <c r="D46" s="394" t="s">
        <v>335</v>
      </c>
      <c r="E46" s="35" t="s">
        <v>537</v>
      </c>
      <c r="F46" s="30">
        <f t="shared" ref="F46:F77" si="10">SUM(G46:J46)</f>
        <v>1026</v>
      </c>
      <c r="G46" s="27">
        <v>1026</v>
      </c>
      <c r="H46" s="27">
        <v>0</v>
      </c>
      <c r="I46" s="27">
        <v>0</v>
      </c>
      <c r="J46" s="27">
        <v>0</v>
      </c>
      <c r="K46" s="30">
        <f t="shared" ref="K46:K77" si="11">SUM(L46:O46)</f>
        <v>1026</v>
      </c>
      <c r="L46" s="27">
        <v>1026</v>
      </c>
      <c r="M46" s="27">
        <v>0</v>
      </c>
      <c r="N46" s="27">
        <v>0</v>
      </c>
      <c r="O46" s="27">
        <v>0</v>
      </c>
      <c r="P46" s="30">
        <f t="shared" ref="P46:P77" si="12">SUM(Q46:T46)</f>
        <v>993</v>
      </c>
      <c r="Q46" s="27">
        <v>993</v>
      </c>
      <c r="R46" s="27">
        <v>0</v>
      </c>
      <c r="S46" s="27">
        <v>0</v>
      </c>
      <c r="T46" s="27">
        <v>0</v>
      </c>
      <c r="U46" s="30">
        <f t="shared" ref="U46:U77" si="13">SUM(V46:Y46)</f>
        <v>-33</v>
      </c>
      <c r="V46" s="27">
        <v>-33</v>
      </c>
      <c r="W46" s="27">
        <v>0</v>
      </c>
      <c r="X46" s="27">
        <v>0</v>
      </c>
      <c r="Y46" s="31">
        <v>0</v>
      </c>
      <c r="Z46" s="560">
        <f t="shared" si="5"/>
        <v>96.783625730994146</v>
      </c>
      <c r="AA46" s="561">
        <f t="shared" si="6"/>
        <v>96.783625730994146</v>
      </c>
      <c r="AB46" s="561" t="str">
        <f t="shared" si="7"/>
        <v xml:space="preserve"> </v>
      </c>
      <c r="AC46" s="561" t="str">
        <f t="shared" si="8"/>
        <v xml:space="preserve"> </v>
      </c>
      <c r="AD46" s="562" t="str">
        <f t="shared" si="9"/>
        <v xml:space="preserve"> </v>
      </c>
    </row>
    <row r="47" spans="2:30" ht="15" thickBot="1" x14ac:dyDescent="0.25">
      <c r="B47" s="339" t="s">
        <v>362</v>
      </c>
      <c r="C47" s="338" t="s">
        <v>505</v>
      </c>
      <c r="D47" s="394" t="s">
        <v>335</v>
      </c>
      <c r="E47" s="35" t="s">
        <v>537</v>
      </c>
      <c r="F47" s="30">
        <f t="shared" si="10"/>
        <v>1300</v>
      </c>
      <c r="G47" s="27">
        <v>1300</v>
      </c>
      <c r="H47" s="27">
        <v>0</v>
      </c>
      <c r="I47" s="27">
        <v>0</v>
      </c>
      <c r="J47" s="27">
        <v>0</v>
      </c>
      <c r="K47" s="30">
        <f t="shared" si="11"/>
        <v>1300</v>
      </c>
      <c r="L47" s="27">
        <v>1300</v>
      </c>
      <c r="M47" s="27">
        <v>0</v>
      </c>
      <c r="N47" s="27">
        <v>0</v>
      </c>
      <c r="O47" s="27">
        <v>0</v>
      </c>
      <c r="P47" s="30">
        <f t="shared" si="12"/>
        <v>1328</v>
      </c>
      <c r="Q47" s="27">
        <v>1328</v>
      </c>
      <c r="R47" s="27">
        <v>0</v>
      </c>
      <c r="S47" s="27">
        <v>0</v>
      </c>
      <c r="T47" s="27">
        <v>0</v>
      </c>
      <c r="U47" s="30">
        <f t="shared" si="13"/>
        <v>28</v>
      </c>
      <c r="V47" s="27">
        <v>28</v>
      </c>
      <c r="W47" s="27">
        <v>0</v>
      </c>
      <c r="X47" s="27">
        <v>0</v>
      </c>
      <c r="Y47" s="31">
        <v>0</v>
      </c>
      <c r="Z47" s="560">
        <f t="shared" si="5"/>
        <v>102.15384615384615</v>
      </c>
      <c r="AA47" s="561">
        <f t="shared" si="6"/>
        <v>102.15384615384615</v>
      </c>
      <c r="AB47" s="561" t="str">
        <f t="shared" si="7"/>
        <v xml:space="preserve"> </v>
      </c>
      <c r="AC47" s="561" t="str">
        <f t="shared" si="8"/>
        <v xml:space="preserve"> </v>
      </c>
      <c r="AD47" s="562" t="str">
        <f t="shared" si="9"/>
        <v xml:space="preserve"> </v>
      </c>
    </row>
    <row r="48" spans="2:30" ht="15" thickBot="1" x14ac:dyDescent="0.25">
      <c r="B48" s="339" t="s">
        <v>362</v>
      </c>
      <c r="C48" s="338" t="s">
        <v>512</v>
      </c>
      <c r="D48" s="394" t="s">
        <v>335</v>
      </c>
      <c r="E48" s="35" t="s">
        <v>537</v>
      </c>
      <c r="F48" s="30">
        <f t="shared" si="10"/>
        <v>641</v>
      </c>
      <c r="G48" s="27">
        <v>641</v>
      </c>
      <c r="H48" s="27">
        <v>0</v>
      </c>
      <c r="I48" s="27">
        <v>0</v>
      </c>
      <c r="J48" s="27">
        <v>0</v>
      </c>
      <c r="K48" s="30">
        <f t="shared" si="11"/>
        <v>641</v>
      </c>
      <c r="L48" s="27">
        <v>641</v>
      </c>
      <c r="M48" s="27">
        <v>0</v>
      </c>
      <c r="N48" s="27">
        <v>0</v>
      </c>
      <c r="O48" s="27">
        <v>0</v>
      </c>
      <c r="P48" s="30">
        <f t="shared" si="12"/>
        <v>596</v>
      </c>
      <c r="Q48" s="27">
        <v>596</v>
      </c>
      <c r="R48" s="27">
        <v>0</v>
      </c>
      <c r="S48" s="27">
        <v>0</v>
      </c>
      <c r="T48" s="27">
        <v>0</v>
      </c>
      <c r="U48" s="30">
        <f t="shared" si="13"/>
        <v>-45</v>
      </c>
      <c r="V48" s="27">
        <v>-45</v>
      </c>
      <c r="W48" s="27">
        <v>0</v>
      </c>
      <c r="X48" s="27">
        <v>0</v>
      </c>
      <c r="Y48" s="31">
        <v>0</v>
      </c>
      <c r="Z48" s="560">
        <f t="shared" si="5"/>
        <v>92.979719188767547</v>
      </c>
      <c r="AA48" s="561">
        <f t="shared" si="6"/>
        <v>92.979719188767547</v>
      </c>
      <c r="AB48" s="561" t="str">
        <f t="shared" si="7"/>
        <v xml:space="preserve"> </v>
      </c>
      <c r="AC48" s="561" t="str">
        <f t="shared" si="8"/>
        <v xml:space="preserve"> </v>
      </c>
      <c r="AD48" s="562" t="str">
        <f t="shared" si="9"/>
        <v xml:space="preserve"> </v>
      </c>
    </row>
    <row r="49" spans="2:30" ht="15.75" thickBot="1" x14ac:dyDescent="0.25">
      <c r="B49" s="336" t="s">
        <v>362</v>
      </c>
      <c r="C49" s="335"/>
      <c r="D49" s="393" t="s">
        <v>335</v>
      </c>
      <c r="E49" s="333" t="s">
        <v>537</v>
      </c>
      <c r="F49" s="34">
        <f t="shared" si="10"/>
        <v>9428</v>
      </c>
      <c r="G49" s="331">
        <f>SUM(G45:G48)</f>
        <v>6228</v>
      </c>
      <c r="H49" s="331">
        <f>SUM(H45:H48)</f>
        <v>0</v>
      </c>
      <c r="I49" s="331">
        <f>SUM(I45:I48)</f>
        <v>0</v>
      </c>
      <c r="J49" s="331">
        <f>SUM(J45:J48)</f>
        <v>3200</v>
      </c>
      <c r="K49" s="34">
        <f t="shared" si="11"/>
        <v>9428</v>
      </c>
      <c r="L49" s="331">
        <f>SUM(L45:L48)</f>
        <v>6228</v>
      </c>
      <c r="M49" s="331">
        <f>SUM(M45:M48)</f>
        <v>0</v>
      </c>
      <c r="N49" s="331">
        <f>SUM(N45:N48)</f>
        <v>0</v>
      </c>
      <c r="O49" s="331">
        <f>SUM(O45:O48)</f>
        <v>3200</v>
      </c>
      <c r="P49" s="34">
        <f t="shared" si="12"/>
        <v>9212</v>
      </c>
      <c r="Q49" s="331">
        <f>SUM(Q45:Q48)</f>
        <v>5917</v>
      </c>
      <c r="R49" s="331">
        <f>SUM(R45:R48)</f>
        <v>0</v>
      </c>
      <c r="S49" s="331">
        <f>SUM(S45:S48)</f>
        <v>0</v>
      </c>
      <c r="T49" s="331">
        <f>SUM(T45:T48)</f>
        <v>3295</v>
      </c>
      <c r="U49" s="34">
        <f t="shared" si="13"/>
        <v>-216</v>
      </c>
      <c r="V49" s="331">
        <f>SUM(V45:V48)</f>
        <v>-311</v>
      </c>
      <c r="W49" s="331">
        <f>SUM(W45:W48)</f>
        <v>0</v>
      </c>
      <c r="X49" s="331">
        <f>SUM(X45:X48)</f>
        <v>0</v>
      </c>
      <c r="Y49" s="330">
        <f>SUM(Y45:Y48)</f>
        <v>95</v>
      </c>
      <c r="Z49" s="576">
        <f t="shared" si="5"/>
        <v>97.708952057700472</v>
      </c>
      <c r="AA49" s="565">
        <f t="shared" si="6"/>
        <v>95.006422607578685</v>
      </c>
      <c r="AB49" s="565" t="str">
        <f t="shared" si="7"/>
        <v xml:space="preserve"> </v>
      </c>
      <c r="AC49" s="565" t="str">
        <f t="shared" si="8"/>
        <v xml:space="preserve"> </v>
      </c>
      <c r="AD49" s="567">
        <f t="shared" si="9"/>
        <v>102.96875000000001</v>
      </c>
    </row>
    <row r="50" spans="2:30" ht="15" thickBot="1" x14ac:dyDescent="0.25">
      <c r="B50" s="339" t="s">
        <v>361</v>
      </c>
      <c r="C50" s="338" t="s">
        <v>511</v>
      </c>
      <c r="D50" s="394" t="s">
        <v>335</v>
      </c>
      <c r="E50" s="35" t="s">
        <v>360</v>
      </c>
      <c r="F50" s="30">
        <f t="shared" si="10"/>
        <v>2771</v>
      </c>
      <c r="G50" s="27">
        <v>1600</v>
      </c>
      <c r="H50" s="27">
        <v>0</v>
      </c>
      <c r="I50" s="27">
        <v>0</v>
      </c>
      <c r="J50" s="27">
        <v>1171</v>
      </c>
      <c r="K50" s="30">
        <f t="shared" si="11"/>
        <v>2771</v>
      </c>
      <c r="L50" s="27">
        <v>1600</v>
      </c>
      <c r="M50" s="27">
        <v>0</v>
      </c>
      <c r="N50" s="27">
        <v>0</v>
      </c>
      <c r="O50" s="27">
        <v>1171</v>
      </c>
      <c r="P50" s="30">
        <f t="shared" si="12"/>
        <v>2769</v>
      </c>
      <c r="Q50" s="27">
        <v>1600</v>
      </c>
      <c r="R50" s="27">
        <v>0</v>
      </c>
      <c r="S50" s="27">
        <v>0</v>
      </c>
      <c r="T50" s="27">
        <v>1169</v>
      </c>
      <c r="U50" s="30">
        <f t="shared" si="13"/>
        <v>-2</v>
      </c>
      <c r="V50" s="27">
        <v>0</v>
      </c>
      <c r="W50" s="27">
        <v>0</v>
      </c>
      <c r="X50" s="27">
        <v>0</v>
      </c>
      <c r="Y50" s="31">
        <v>-2</v>
      </c>
      <c r="Z50" s="560">
        <f t="shared" si="5"/>
        <v>99.927823890292316</v>
      </c>
      <c r="AA50" s="561">
        <f t="shared" si="6"/>
        <v>100</v>
      </c>
      <c r="AB50" s="561" t="str">
        <f t="shared" si="7"/>
        <v xml:space="preserve"> </v>
      </c>
      <c r="AC50" s="561" t="str">
        <f t="shared" si="8"/>
        <v xml:space="preserve"> </v>
      </c>
      <c r="AD50" s="562">
        <f t="shared" si="9"/>
        <v>99.829205807002566</v>
      </c>
    </row>
    <row r="51" spans="2:30" ht="15" thickBot="1" x14ac:dyDescent="0.25">
      <c r="B51" s="339" t="s">
        <v>361</v>
      </c>
      <c r="C51" s="338" t="s">
        <v>506</v>
      </c>
      <c r="D51" s="394" t="s">
        <v>335</v>
      </c>
      <c r="E51" s="35" t="s">
        <v>360</v>
      </c>
      <c r="F51" s="30">
        <f t="shared" si="10"/>
        <v>2800</v>
      </c>
      <c r="G51" s="27">
        <v>2800</v>
      </c>
      <c r="H51" s="27">
        <v>0</v>
      </c>
      <c r="I51" s="27">
        <v>0</v>
      </c>
      <c r="J51" s="27">
        <v>0</v>
      </c>
      <c r="K51" s="30">
        <f t="shared" si="11"/>
        <v>2800</v>
      </c>
      <c r="L51" s="27">
        <v>2800</v>
      </c>
      <c r="M51" s="27">
        <v>0</v>
      </c>
      <c r="N51" s="27">
        <v>0</v>
      </c>
      <c r="O51" s="27">
        <v>0</v>
      </c>
      <c r="P51" s="30">
        <f t="shared" si="12"/>
        <v>3030</v>
      </c>
      <c r="Q51" s="27">
        <v>3030</v>
      </c>
      <c r="R51" s="27">
        <v>0</v>
      </c>
      <c r="S51" s="27">
        <v>0</v>
      </c>
      <c r="T51" s="27">
        <v>0</v>
      </c>
      <c r="U51" s="30">
        <f t="shared" si="13"/>
        <v>230</v>
      </c>
      <c r="V51" s="27">
        <v>230</v>
      </c>
      <c r="W51" s="27">
        <v>0</v>
      </c>
      <c r="X51" s="27">
        <v>0</v>
      </c>
      <c r="Y51" s="31">
        <v>0</v>
      </c>
      <c r="Z51" s="560">
        <f t="shared" si="5"/>
        <v>108.21428571428571</v>
      </c>
      <c r="AA51" s="561">
        <f t="shared" si="6"/>
        <v>108.21428571428571</v>
      </c>
      <c r="AB51" s="561" t="str">
        <f t="shared" si="7"/>
        <v xml:space="preserve"> </v>
      </c>
      <c r="AC51" s="561" t="str">
        <f t="shared" si="8"/>
        <v xml:space="preserve"> </v>
      </c>
      <c r="AD51" s="562" t="str">
        <f t="shared" si="9"/>
        <v xml:space="preserve"> </v>
      </c>
    </row>
    <row r="52" spans="2:30" ht="15" thickBot="1" x14ac:dyDescent="0.25">
      <c r="B52" s="339" t="s">
        <v>361</v>
      </c>
      <c r="C52" s="338" t="s">
        <v>498</v>
      </c>
      <c r="D52" s="394" t="s">
        <v>335</v>
      </c>
      <c r="E52" s="35" t="s">
        <v>360</v>
      </c>
      <c r="F52" s="30">
        <f t="shared" si="10"/>
        <v>380</v>
      </c>
      <c r="G52" s="27">
        <v>380</v>
      </c>
      <c r="H52" s="27">
        <v>0</v>
      </c>
      <c r="I52" s="27">
        <v>0</v>
      </c>
      <c r="J52" s="27">
        <v>0</v>
      </c>
      <c r="K52" s="30">
        <f t="shared" si="11"/>
        <v>380</v>
      </c>
      <c r="L52" s="27">
        <v>380</v>
      </c>
      <c r="M52" s="27">
        <v>0</v>
      </c>
      <c r="N52" s="27">
        <v>0</v>
      </c>
      <c r="O52" s="27">
        <v>0</v>
      </c>
      <c r="P52" s="30">
        <f t="shared" si="12"/>
        <v>370</v>
      </c>
      <c r="Q52" s="27">
        <v>370</v>
      </c>
      <c r="R52" s="27">
        <v>0</v>
      </c>
      <c r="S52" s="27">
        <v>0</v>
      </c>
      <c r="T52" s="27">
        <v>0</v>
      </c>
      <c r="U52" s="30">
        <f t="shared" si="13"/>
        <v>-10</v>
      </c>
      <c r="V52" s="27">
        <v>-10</v>
      </c>
      <c r="W52" s="27">
        <v>0</v>
      </c>
      <c r="X52" s="27">
        <v>0</v>
      </c>
      <c r="Y52" s="31">
        <v>0</v>
      </c>
      <c r="Z52" s="560">
        <f t="shared" si="5"/>
        <v>97.368421052631575</v>
      </c>
      <c r="AA52" s="561">
        <f t="shared" si="6"/>
        <v>97.368421052631575</v>
      </c>
      <c r="AB52" s="561" t="str">
        <f t="shared" si="7"/>
        <v xml:space="preserve"> </v>
      </c>
      <c r="AC52" s="561" t="str">
        <f t="shared" si="8"/>
        <v xml:space="preserve"> </v>
      </c>
      <c r="AD52" s="562" t="str">
        <f t="shared" si="9"/>
        <v xml:space="preserve"> </v>
      </c>
    </row>
    <row r="53" spans="2:30" ht="15" thickBot="1" x14ac:dyDescent="0.25">
      <c r="B53" s="339" t="s">
        <v>361</v>
      </c>
      <c r="C53" s="338" t="s">
        <v>505</v>
      </c>
      <c r="D53" s="394" t="s">
        <v>335</v>
      </c>
      <c r="E53" s="35" t="s">
        <v>360</v>
      </c>
      <c r="F53" s="30">
        <f t="shared" si="10"/>
        <v>1100</v>
      </c>
      <c r="G53" s="27">
        <v>1100</v>
      </c>
      <c r="H53" s="27">
        <v>0</v>
      </c>
      <c r="I53" s="27">
        <v>0</v>
      </c>
      <c r="J53" s="27">
        <v>0</v>
      </c>
      <c r="K53" s="30">
        <f t="shared" si="11"/>
        <v>1100</v>
      </c>
      <c r="L53" s="27">
        <v>1100</v>
      </c>
      <c r="M53" s="27">
        <v>0</v>
      </c>
      <c r="N53" s="27">
        <v>0</v>
      </c>
      <c r="O53" s="27">
        <v>0</v>
      </c>
      <c r="P53" s="30">
        <f t="shared" si="12"/>
        <v>770</v>
      </c>
      <c r="Q53" s="27">
        <v>770</v>
      </c>
      <c r="R53" s="27">
        <v>0</v>
      </c>
      <c r="S53" s="27">
        <v>0</v>
      </c>
      <c r="T53" s="27">
        <v>0</v>
      </c>
      <c r="U53" s="30">
        <f t="shared" si="13"/>
        <v>-330</v>
      </c>
      <c r="V53" s="27">
        <v>-330</v>
      </c>
      <c r="W53" s="27">
        <v>0</v>
      </c>
      <c r="X53" s="27">
        <v>0</v>
      </c>
      <c r="Y53" s="31">
        <v>0</v>
      </c>
      <c r="Z53" s="560">
        <f t="shared" si="5"/>
        <v>70</v>
      </c>
      <c r="AA53" s="561">
        <f t="shared" si="6"/>
        <v>70</v>
      </c>
      <c r="AB53" s="561" t="str">
        <f t="shared" si="7"/>
        <v xml:space="preserve"> </v>
      </c>
      <c r="AC53" s="561" t="str">
        <f t="shared" si="8"/>
        <v xml:space="preserve"> </v>
      </c>
      <c r="AD53" s="562" t="str">
        <f t="shared" si="9"/>
        <v xml:space="preserve"> </v>
      </c>
    </row>
    <row r="54" spans="2:30" ht="15" thickBot="1" x14ac:dyDescent="0.25">
      <c r="B54" s="339" t="s">
        <v>361</v>
      </c>
      <c r="C54" s="338" t="s">
        <v>512</v>
      </c>
      <c r="D54" s="394" t="s">
        <v>335</v>
      </c>
      <c r="E54" s="35" t="s">
        <v>360</v>
      </c>
      <c r="F54" s="30">
        <f t="shared" si="10"/>
        <v>530</v>
      </c>
      <c r="G54" s="27">
        <v>530</v>
      </c>
      <c r="H54" s="27">
        <v>0</v>
      </c>
      <c r="I54" s="27">
        <v>0</v>
      </c>
      <c r="J54" s="27">
        <v>0</v>
      </c>
      <c r="K54" s="30">
        <f t="shared" si="11"/>
        <v>530</v>
      </c>
      <c r="L54" s="27">
        <v>530</v>
      </c>
      <c r="M54" s="27">
        <v>0</v>
      </c>
      <c r="N54" s="27">
        <v>0</v>
      </c>
      <c r="O54" s="27">
        <v>0</v>
      </c>
      <c r="P54" s="30">
        <f t="shared" si="12"/>
        <v>320</v>
      </c>
      <c r="Q54" s="27">
        <v>320</v>
      </c>
      <c r="R54" s="27">
        <v>0</v>
      </c>
      <c r="S54" s="27">
        <v>0</v>
      </c>
      <c r="T54" s="27">
        <v>0</v>
      </c>
      <c r="U54" s="30">
        <f t="shared" si="13"/>
        <v>-210</v>
      </c>
      <c r="V54" s="27">
        <v>-210</v>
      </c>
      <c r="W54" s="27">
        <v>0</v>
      </c>
      <c r="X54" s="27">
        <v>0</v>
      </c>
      <c r="Y54" s="31">
        <v>0</v>
      </c>
      <c r="Z54" s="560">
        <f t="shared" si="5"/>
        <v>60.377358490566039</v>
      </c>
      <c r="AA54" s="561">
        <f t="shared" si="6"/>
        <v>60.377358490566039</v>
      </c>
      <c r="AB54" s="561" t="str">
        <f t="shared" si="7"/>
        <v xml:space="preserve"> </v>
      </c>
      <c r="AC54" s="561" t="str">
        <f t="shared" si="8"/>
        <v xml:space="preserve"> </v>
      </c>
      <c r="AD54" s="562" t="str">
        <f t="shared" si="9"/>
        <v xml:space="preserve"> </v>
      </c>
    </row>
    <row r="55" spans="2:30" ht="15.75" thickBot="1" x14ac:dyDescent="0.25">
      <c r="B55" s="336" t="s">
        <v>361</v>
      </c>
      <c r="C55" s="335"/>
      <c r="D55" s="393" t="s">
        <v>335</v>
      </c>
      <c r="E55" s="333" t="s">
        <v>360</v>
      </c>
      <c r="F55" s="34">
        <f t="shared" si="10"/>
        <v>7581</v>
      </c>
      <c r="G55" s="331">
        <f>SUM(G50:G54)</f>
        <v>6410</v>
      </c>
      <c r="H55" s="331">
        <f>SUM(H50:H54)</f>
        <v>0</v>
      </c>
      <c r="I55" s="331">
        <f>SUM(I50:I54)</f>
        <v>0</v>
      </c>
      <c r="J55" s="331">
        <f>SUM(J50:J54)</f>
        <v>1171</v>
      </c>
      <c r="K55" s="34">
        <f t="shared" si="11"/>
        <v>7581</v>
      </c>
      <c r="L55" s="331">
        <f>SUM(L50:L54)</f>
        <v>6410</v>
      </c>
      <c r="M55" s="331">
        <f>SUM(M50:M54)</f>
        <v>0</v>
      </c>
      <c r="N55" s="331">
        <f>SUM(N50:N54)</f>
        <v>0</v>
      </c>
      <c r="O55" s="331">
        <f>SUM(O50:O54)</f>
        <v>1171</v>
      </c>
      <c r="P55" s="34">
        <f t="shared" si="12"/>
        <v>7259</v>
      </c>
      <c r="Q55" s="331">
        <f>SUM(Q50:Q54)</f>
        <v>6090</v>
      </c>
      <c r="R55" s="331">
        <f>SUM(R50:R54)</f>
        <v>0</v>
      </c>
      <c r="S55" s="331">
        <f>SUM(S50:S54)</f>
        <v>0</v>
      </c>
      <c r="T55" s="331">
        <f>SUM(T50:T54)</f>
        <v>1169</v>
      </c>
      <c r="U55" s="34">
        <f t="shared" si="13"/>
        <v>-322</v>
      </c>
      <c r="V55" s="331">
        <f>SUM(V50:V54)</f>
        <v>-320</v>
      </c>
      <c r="W55" s="331">
        <f>SUM(W50:W54)</f>
        <v>0</v>
      </c>
      <c r="X55" s="331">
        <f>SUM(X50:X54)</f>
        <v>0</v>
      </c>
      <c r="Y55" s="330">
        <f>SUM(Y50:Y54)</f>
        <v>-2</v>
      </c>
      <c r="Z55" s="576">
        <f t="shared" si="5"/>
        <v>95.752539242843952</v>
      </c>
      <c r="AA55" s="565">
        <f t="shared" si="6"/>
        <v>95.007800312012478</v>
      </c>
      <c r="AB55" s="565" t="str">
        <f t="shared" si="7"/>
        <v xml:space="preserve"> </v>
      </c>
      <c r="AC55" s="565" t="str">
        <f t="shared" si="8"/>
        <v xml:space="preserve"> </v>
      </c>
      <c r="AD55" s="567">
        <f t="shared" si="9"/>
        <v>99.829205807002566</v>
      </c>
    </row>
    <row r="56" spans="2:30" ht="15" thickBot="1" x14ac:dyDescent="0.25">
      <c r="B56" s="339" t="s">
        <v>358</v>
      </c>
      <c r="C56" s="338" t="s">
        <v>511</v>
      </c>
      <c r="D56" s="394" t="s">
        <v>335</v>
      </c>
      <c r="E56" s="35" t="s">
        <v>359</v>
      </c>
      <c r="F56" s="30">
        <f t="shared" si="10"/>
        <v>1955</v>
      </c>
      <c r="G56" s="27">
        <v>1621</v>
      </c>
      <c r="H56" s="27">
        <v>0</v>
      </c>
      <c r="I56" s="27">
        <v>0</v>
      </c>
      <c r="J56" s="27">
        <v>334</v>
      </c>
      <c r="K56" s="30">
        <f t="shared" si="11"/>
        <v>1955</v>
      </c>
      <c r="L56" s="27">
        <v>1621</v>
      </c>
      <c r="M56" s="27">
        <v>0</v>
      </c>
      <c r="N56" s="27">
        <v>0</v>
      </c>
      <c r="O56" s="27">
        <v>334</v>
      </c>
      <c r="P56" s="30">
        <f t="shared" si="12"/>
        <v>1893</v>
      </c>
      <c r="Q56" s="27">
        <v>1580</v>
      </c>
      <c r="R56" s="27">
        <v>0</v>
      </c>
      <c r="S56" s="27">
        <v>0</v>
      </c>
      <c r="T56" s="27">
        <v>313</v>
      </c>
      <c r="U56" s="30">
        <f t="shared" si="13"/>
        <v>-62</v>
      </c>
      <c r="V56" s="27">
        <v>-41</v>
      </c>
      <c r="W56" s="27">
        <v>0</v>
      </c>
      <c r="X56" s="27">
        <v>0</v>
      </c>
      <c r="Y56" s="31">
        <v>-21</v>
      </c>
      <c r="Z56" s="560">
        <f t="shared" si="5"/>
        <v>96.828644501278774</v>
      </c>
      <c r="AA56" s="561">
        <f t="shared" si="6"/>
        <v>97.470697100555213</v>
      </c>
      <c r="AB56" s="561" t="str">
        <f t="shared" si="7"/>
        <v xml:space="preserve"> </v>
      </c>
      <c r="AC56" s="561" t="str">
        <f t="shared" si="8"/>
        <v xml:space="preserve"> </v>
      </c>
      <c r="AD56" s="562">
        <f t="shared" si="9"/>
        <v>93.712574850299404</v>
      </c>
    </row>
    <row r="57" spans="2:30" ht="26.25" thickBot="1" x14ac:dyDescent="0.25">
      <c r="B57" s="336" t="s">
        <v>358</v>
      </c>
      <c r="C57" s="335"/>
      <c r="D57" s="393" t="s">
        <v>335</v>
      </c>
      <c r="E57" s="333" t="s">
        <v>359</v>
      </c>
      <c r="F57" s="34">
        <f t="shared" si="10"/>
        <v>1955</v>
      </c>
      <c r="G57" s="331">
        <f>G56</f>
        <v>1621</v>
      </c>
      <c r="H57" s="331">
        <f>H56</f>
        <v>0</v>
      </c>
      <c r="I57" s="331">
        <f>I56</f>
        <v>0</v>
      </c>
      <c r="J57" s="331">
        <f>J56</f>
        <v>334</v>
      </c>
      <c r="K57" s="34">
        <f t="shared" si="11"/>
        <v>1955</v>
      </c>
      <c r="L57" s="331">
        <f>L56</f>
        <v>1621</v>
      </c>
      <c r="M57" s="331">
        <f>M56</f>
        <v>0</v>
      </c>
      <c r="N57" s="331">
        <f>N56</f>
        <v>0</v>
      </c>
      <c r="O57" s="331">
        <f>O56</f>
        <v>334</v>
      </c>
      <c r="P57" s="34">
        <f t="shared" si="12"/>
        <v>1893</v>
      </c>
      <c r="Q57" s="331">
        <f>Q56</f>
        <v>1580</v>
      </c>
      <c r="R57" s="331">
        <f>R56</f>
        <v>0</v>
      </c>
      <c r="S57" s="331">
        <f>S56</f>
        <v>0</v>
      </c>
      <c r="T57" s="331">
        <f>T56</f>
        <v>313</v>
      </c>
      <c r="U57" s="34">
        <f t="shared" si="13"/>
        <v>-62</v>
      </c>
      <c r="V57" s="331">
        <f>V56</f>
        <v>-41</v>
      </c>
      <c r="W57" s="331">
        <f>W56</f>
        <v>0</v>
      </c>
      <c r="X57" s="331">
        <f>X56</f>
        <v>0</v>
      </c>
      <c r="Y57" s="330">
        <f>Y56</f>
        <v>-21</v>
      </c>
      <c r="Z57" s="576">
        <f t="shared" si="5"/>
        <v>96.828644501278774</v>
      </c>
      <c r="AA57" s="565">
        <f t="shared" si="6"/>
        <v>97.470697100555213</v>
      </c>
      <c r="AB57" s="565" t="str">
        <f t="shared" si="7"/>
        <v xml:space="preserve"> </v>
      </c>
      <c r="AC57" s="565" t="str">
        <f t="shared" si="8"/>
        <v xml:space="preserve"> </v>
      </c>
      <c r="AD57" s="567">
        <f t="shared" si="9"/>
        <v>93.712574850299404</v>
      </c>
    </row>
    <row r="58" spans="2:30" ht="15" thickBot="1" x14ac:dyDescent="0.25">
      <c r="B58" s="339" t="s">
        <v>357</v>
      </c>
      <c r="C58" s="338" t="s">
        <v>511</v>
      </c>
      <c r="D58" s="394" t="s">
        <v>335</v>
      </c>
      <c r="E58" s="35" t="s">
        <v>356</v>
      </c>
      <c r="F58" s="30">
        <f t="shared" si="10"/>
        <v>2080</v>
      </c>
      <c r="G58" s="27">
        <v>1750</v>
      </c>
      <c r="H58" s="27">
        <v>0</v>
      </c>
      <c r="I58" s="27">
        <v>0</v>
      </c>
      <c r="J58" s="27">
        <v>330</v>
      </c>
      <c r="K58" s="30">
        <f t="shared" si="11"/>
        <v>2080</v>
      </c>
      <c r="L58" s="27">
        <v>1750</v>
      </c>
      <c r="M58" s="27">
        <v>0</v>
      </c>
      <c r="N58" s="27">
        <v>0</v>
      </c>
      <c r="O58" s="27">
        <v>330</v>
      </c>
      <c r="P58" s="30">
        <f t="shared" si="12"/>
        <v>2058</v>
      </c>
      <c r="Q58" s="27">
        <v>1700</v>
      </c>
      <c r="R58" s="27">
        <v>0</v>
      </c>
      <c r="S58" s="27">
        <v>0</v>
      </c>
      <c r="T58" s="27">
        <v>358</v>
      </c>
      <c r="U58" s="30">
        <f t="shared" si="13"/>
        <v>-22</v>
      </c>
      <c r="V58" s="27">
        <v>-50</v>
      </c>
      <c r="W58" s="27">
        <v>0</v>
      </c>
      <c r="X58" s="27">
        <v>0</v>
      </c>
      <c r="Y58" s="31">
        <v>28</v>
      </c>
      <c r="Z58" s="560">
        <f t="shared" si="5"/>
        <v>98.942307692307693</v>
      </c>
      <c r="AA58" s="561">
        <f t="shared" si="6"/>
        <v>97.142857142857139</v>
      </c>
      <c r="AB58" s="561" t="str">
        <f t="shared" si="7"/>
        <v xml:space="preserve"> </v>
      </c>
      <c r="AC58" s="561" t="str">
        <f t="shared" si="8"/>
        <v xml:space="preserve"> </v>
      </c>
      <c r="AD58" s="562">
        <f t="shared" si="9"/>
        <v>108.4848484848485</v>
      </c>
    </row>
    <row r="59" spans="2:30" ht="15" thickBot="1" x14ac:dyDescent="0.25">
      <c r="B59" s="339" t="s">
        <v>357</v>
      </c>
      <c r="C59" s="338" t="s">
        <v>498</v>
      </c>
      <c r="D59" s="394" t="s">
        <v>335</v>
      </c>
      <c r="E59" s="35" t="s">
        <v>356</v>
      </c>
      <c r="F59" s="30">
        <f t="shared" si="10"/>
        <v>805</v>
      </c>
      <c r="G59" s="27">
        <v>478</v>
      </c>
      <c r="H59" s="27">
        <v>0</v>
      </c>
      <c r="I59" s="27">
        <v>0</v>
      </c>
      <c r="J59" s="27">
        <v>327</v>
      </c>
      <c r="K59" s="30">
        <f t="shared" si="11"/>
        <v>805</v>
      </c>
      <c r="L59" s="27">
        <v>478</v>
      </c>
      <c r="M59" s="27">
        <v>0</v>
      </c>
      <c r="N59" s="27">
        <v>0</v>
      </c>
      <c r="O59" s="27">
        <v>327</v>
      </c>
      <c r="P59" s="30">
        <f t="shared" si="12"/>
        <v>828</v>
      </c>
      <c r="Q59" s="27">
        <v>500</v>
      </c>
      <c r="R59" s="27">
        <v>0</v>
      </c>
      <c r="S59" s="27">
        <v>0</v>
      </c>
      <c r="T59" s="27">
        <v>328</v>
      </c>
      <c r="U59" s="30">
        <f t="shared" si="13"/>
        <v>23</v>
      </c>
      <c r="V59" s="27">
        <v>22</v>
      </c>
      <c r="W59" s="27">
        <v>0</v>
      </c>
      <c r="X59" s="27">
        <v>0</v>
      </c>
      <c r="Y59" s="31">
        <v>1</v>
      </c>
      <c r="Z59" s="560">
        <f t="shared" si="5"/>
        <v>102.85714285714285</v>
      </c>
      <c r="AA59" s="561">
        <f t="shared" si="6"/>
        <v>104.60251046025104</v>
      </c>
      <c r="AB59" s="561" t="str">
        <f t="shared" si="7"/>
        <v xml:space="preserve"> </v>
      </c>
      <c r="AC59" s="561" t="str">
        <f t="shared" si="8"/>
        <v xml:space="preserve"> </v>
      </c>
      <c r="AD59" s="562">
        <f t="shared" si="9"/>
        <v>100.3058103975535</v>
      </c>
    </row>
    <row r="60" spans="2:30" ht="15" thickBot="1" x14ac:dyDescent="0.25">
      <c r="B60" s="339" t="s">
        <v>357</v>
      </c>
      <c r="C60" s="338" t="s">
        <v>505</v>
      </c>
      <c r="D60" s="394" t="s">
        <v>335</v>
      </c>
      <c r="E60" s="35" t="s">
        <v>356</v>
      </c>
      <c r="F60" s="30">
        <f t="shared" si="10"/>
        <v>1052</v>
      </c>
      <c r="G60" s="27">
        <v>860</v>
      </c>
      <c r="H60" s="27">
        <v>0</v>
      </c>
      <c r="I60" s="27">
        <v>0</v>
      </c>
      <c r="J60" s="27">
        <v>192</v>
      </c>
      <c r="K60" s="30">
        <f t="shared" si="11"/>
        <v>1052</v>
      </c>
      <c r="L60" s="27">
        <v>860</v>
      </c>
      <c r="M60" s="27">
        <v>0</v>
      </c>
      <c r="N60" s="27">
        <v>0</v>
      </c>
      <c r="O60" s="27">
        <v>192</v>
      </c>
      <c r="P60" s="30">
        <f t="shared" si="12"/>
        <v>891</v>
      </c>
      <c r="Q60" s="27">
        <v>734</v>
      </c>
      <c r="R60" s="27">
        <v>0</v>
      </c>
      <c r="S60" s="27">
        <v>0</v>
      </c>
      <c r="T60" s="27">
        <v>157</v>
      </c>
      <c r="U60" s="30">
        <f t="shared" si="13"/>
        <v>-161</v>
      </c>
      <c r="V60" s="27">
        <v>-126</v>
      </c>
      <c r="W60" s="27">
        <v>0</v>
      </c>
      <c r="X60" s="27">
        <v>0</v>
      </c>
      <c r="Y60" s="31">
        <v>-35</v>
      </c>
      <c r="Z60" s="560">
        <f t="shared" si="5"/>
        <v>84.695817490494292</v>
      </c>
      <c r="AA60" s="561">
        <f t="shared" si="6"/>
        <v>85.348837209302332</v>
      </c>
      <c r="AB60" s="561" t="str">
        <f t="shared" si="7"/>
        <v xml:space="preserve"> </v>
      </c>
      <c r="AC60" s="561" t="str">
        <f t="shared" si="8"/>
        <v xml:space="preserve"> </v>
      </c>
      <c r="AD60" s="562">
        <f t="shared" si="9"/>
        <v>81.770833333333343</v>
      </c>
    </row>
    <row r="61" spans="2:30" ht="15.75" thickBot="1" x14ac:dyDescent="0.25">
      <c r="B61" s="336" t="s">
        <v>357</v>
      </c>
      <c r="C61" s="335"/>
      <c r="D61" s="393" t="s">
        <v>335</v>
      </c>
      <c r="E61" s="333" t="s">
        <v>356</v>
      </c>
      <c r="F61" s="34">
        <f t="shared" si="10"/>
        <v>3937</v>
      </c>
      <c r="G61" s="331">
        <f>SUM(G58:G60)</f>
        <v>3088</v>
      </c>
      <c r="H61" s="331">
        <f>SUM(H58:H60)</f>
        <v>0</v>
      </c>
      <c r="I61" s="331">
        <f>SUM(I58:I60)</f>
        <v>0</v>
      </c>
      <c r="J61" s="331">
        <f>SUM(J58:J60)</f>
        <v>849</v>
      </c>
      <c r="K61" s="34">
        <f t="shared" si="11"/>
        <v>3937</v>
      </c>
      <c r="L61" s="331">
        <f>SUM(L58:L60)</f>
        <v>3088</v>
      </c>
      <c r="M61" s="331">
        <f>SUM(M58:M60)</f>
        <v>0</v>
      </c>
      <c r="N61" s="331">
        <f>SUM(N58:N60)</f>
        <v>0</v>
      </c>
      <c r="O61" s="331">
        <f>SUM(O58:O60)</f>
        <v>849</v>
      </c>
      <c r="P61" s="34">
        <f t="shared" si="12"/>
        <v>3777</v>
      </c>
      <c r="Q61" s="331">
        <f>SUM(Q58:Q60)</f>
        <v>2934</v>
      </c>
      <c r="R61" s="331">
        <f>SUM(R58:R60)</f>
        <v>0</v>
      </c>
      <c r="S61" s="331">
        <f>SUM(S58:S60)</f>
        <v>0</v>
      </c>
      <c r="T61" s="331">
        <f>SUM(T58:T60)</f>
        <v>843</v>
      </c>
      <c r="U61" s="34">
        <f t="shared" si="13"/>
        <v>-160</v>
      </c>
      <c r="V61" s="331">
        <f>SUM(V58:V60)</f>
        <v>-154</v>
      </c>
      <c r="W61" s="331">
        <f>SUM(W58:W60)</f>
        <v>0</v>
      </c>
      <c r="X61" s="331">
        <f>SUM(X58:X60)</f>
        <v>0</v>
      </c>
      <c r="Y61" s="330">
        <f>SUM(Y58:Y60)</f>
        <v>-6</v>
      </c>
      <c r="Z61" s="576">
        <f t="shared" si="5"/>
        <v>95.935991871983745</v>
      </c>
      <c r="AA61" s="565">
        <f t="shared" si="6"/>
        <v>95.012953367875653</v>
      </c>
      <c r="AB61" s="565" t="str">
        <f t="shared" si="7"/>
        <v xml:space="preserve"> </v>
      </c>
      <c r="AC61" s="565" t="str">
        <f t="shared" si="8"/>
        <v xml:space="preserve"> </v>
      </c>
      <c r="AD61" s="567">
        <f t="shared" si="9"/>
        <v>99.293286219081267</v>
      </c>
    </row>
    <row r="62" spans="2:30" ht="15" thickBot="1" x14ac:dyDescent="0.25">
      <c r="B62" s="339" t="s">
        <v>355</v>
      </c>
      <c r="C62" s="338" t="s">
        <v>506</v>
      </c>
      <c r="D62" s="394" t="s">
        <v>335</v>
      </c>
      <c r="E62" s="35" t="s">
        <v>354</v>
      </c>
      <c r="F62" s="30">
        <f t="shared" si="10"/>
        <v>9272</v>
      </c>
      <c r="G62" s="27">
        <v>7360</v>
      </c>
      <c r="H62" s="27">
        <v>0</v>
      </c>
      <c r="I62" s="27">
        <v>0</v>
      </c>
      <c r="J62" s="27">
        <v>1912</v>
      </c>
      <c r="K62" s="30">
        <f t="shared" si="11"/>
        <v>9272</v>
      </c>
      <c r="L62" s="27">
        <v>7360</v>
      </c>
      <c r="M62" s="27">
        <v>0</v>
      </c>
      <c r="N62" s="27">
        <v>0</v>
      </c>
      <c r="O62" s="27">
        <v>1912</v>
      </c>
      <c r="P62" s="30">
        <f t="shared" si="12"/>
        <v>8609</v>
      </c>
      <c r="Q62" s="27">
        <v>6992</v>
      </c>
      <c r="R62" s="27">
        <v>0</v>
      </c>
      <c r="S62" s="27">
        <v>0</v>
      </c>
      <c r="T62" s="27">
        <v>1617</v>
      </c>
      <c r="U62" s="30">
        <f t="shared" si="13"/>
        <v>-663</v>
      </c>
      <c r="V62" s="27">
        <v>-368</v>
      </c>
      <c r="W62" s="27">
        <v>0</v>
      </c>
      <c r="X62" s="27">
        <v>0</v>
      </c>
      <c r="Y62" s="31">
        <v>-295</v>
      </c>
      <c r="Z62" s="560">
        <f t="shared" si="5"/>
        <v>92.849439171699743</v>
      </c>
      <c r="AA62" s="561">
        <f t="shared" si="6"/>
        <v>95</v>
      </c>
      <c r="AB62" s="561" t="str">
        <f t="shared" si="7"/>
        <v xml:space="preserve"> </v>
      </c>
      <c r="AC62" s="561" t="str">
        <f t="shared" si="8"/>
        <v xml:space="preserve"> </v>
      </c>
      <c r="AD62" s="562">
        <f t="shared" si="9"/>
        <v>84.571129707112974</v>
      </c>
    </row>
    <row r="63" spans="2:30" ht="15.75" thickBot="1" x14ac:dyDescent="0.25">
      <c r="B63" s="336" t="s">
        <v>355</v>
      </c>
      <c r="C63" s="335"/>
      <c r="D63" s="393" t="s">
        <v>335</v>
      </c>
      <c r="E63" s="333" t="s">
        <v>354</v>
      </c>
      <c r="F63" s="34">
        <f t="shared" si="10"/>
        <v>9272</v>
      </c>
      <c r="G63" s="331">
        <f>G62</f>
        <v>7360</v>
      </c>
      <c r="H63" s="331">
        <f>H62</f>
        <v>0</v>
      </c>
      <c r="I63" s="331">
        <f>I62</f>
        <v>0</v>
      </c>
      <c r="J63" s="331">
        <f>J62</f>
        <v>1912</v>
      </c>
      <c r="K63" s="34">
        <f t="shared" si="11"/>
        <v>9272</v>
      </c>
      <c r="L63" s="331">
        <f>L62</f>
        <v>7360</v>
      </c>
      <c r="M63" s="331">
        <f>M62</f>
        <v>0</v>
      </c>
      <c r="N63" s="331">
        <f>N62</f>
        <v>0</v>
      </c>
      <c r="O63" s="331">
        <f>O62</f>
        <v>1912</v>
      </c>
      <c r="P63" s="34">
        <f t="shared" si="12"/>
        <v>8609</v>
      </c>
      <c r="Q63" s="331">
        <f>Q62</f>
        <v>6992</v>
      </c>
      <c r="R63" s="331">
        <f>R62</f>
        <v>0</v>
      </c>
      <c r="S63" s="331">
        <f>S62</f>
        <v>0</v>
      </c>
      <c r="T63" s="331">
        <f>T62</f>
        <v>1617</v>
      </c>
      <c r="U63" s="34">
        <f t="shared" si="13"/>
        <v>-663</v>
      </c>
      <c r="V63" s="331">
        <f>V62</f>
        <v>-368</v>
      </c>
      <c r="W63" s="331">
        <f>W62</f>
        <v>0</v>
      </c>
      <c r="X63" s="331">
        <f>X62</f>
        <v>0</v>
      </c>
      <c r="Y63" s="330">
        <f>Y62</f>
        <v>-295</v>
      </c>
      <c r="Z63" s="576">
        <f t="shared" si="5"/>
        <v>92.849439171699743</v>
      </c>
      <c r="AA63" s="565">
        <f t="shared" si="6"/>
        <v>95</v>
      </c>
      <c r="AB63" s="565" t="str">
        <f t="shared" si="7"/>
        <v xml:space="preserve"> </v>
      </c>
      <c r="AC63" s="565" t="str">
        <f t="shared" si="8"/>
        <v xml:space="preserve"> </v>
      </c>
      <c r="AD63" s="567">
        <f t="shared" si="9"/>
        <v>84.571129707112974</v>
      </c>
    </row>
    <row r="64" spans="2:30" ht="15" thickBot="1" x14ac:dyDescent="0.25">
      <c r="B64" s="339" t="s">
        <v>353</v>
      </c>
      <c r="C64" s="338" t="s">
        <v>511</v>
      </c>
      <c r="D64" s="394" t="s">
        <v>335</v>
      </c>
      <c r="E64" s="35" t="s">
        <v>352</v>
      </c>
      <c r="F64" s="30">
        <f t="shared" si="10"/>
        <v>2156</v>
      </c>
      <c r="G64" s="27">
        <v>1665</v>
      </c>
      <c r="H64" s="27">
        <v>0</v>
      </c>
      <c r="I64" s="27">
        <v>0</v>
      </c>
      <c r="J64" s="27">
        <v>491</v>
      </c>
      <c r="K64" s="30">
        <f t="shared" si="11"/>
        <v>2156</v>
      </c>
      <c r="L64" s="27">
        <v>1665</v>
      </c>
      <c r="M64" s="27">
        <v>0</v>
      </c>
      <c r="N64" s="27">
        <v>0</v>
      </c>
      <c r="O64" s="27">
        <v>491</v>
      </c>
      <c r="P64" s="30">
        <f t="shared" si="12"/>
        <v>2066</v>
      </c>
      <c r="Q64" s="27">
        <v>1578</v>
      </c>
      <c r="R64" s="27">
        <v>0</v>
      </c>
      <c r="S64" s="27">
        <v>0</v>
      </c>
      <c r="T64" s="27">
        <v>488</v>
      </c>
      <c r="U64" s="30">
        <f t="shared" si="13"/>
        <v>-90</v>
      </c>
      <c r="V64" s="27">
        <v>-87</v>
      </c>
      <c r="W64" s="27">
        <v>0</v>
      </c>
      <c r="X64" s="27">
        <v>0</v>
      </c>
      <c r="Y64" s="31">
        <v>-3</v>
      </c>
      <c r="Z64" s="560">
        <f t="shared" si="5"/>
        <v>95.825602968460117</v>
      </c>
      <c r="AA64" s="561">
        <f t="shared" si="6"/>
        <v>94.77477477477477</v>
      </c>
      <c r="AB64" s="561" t="str">
        <f t="shared" si="7"/>
        <v xml:space="preserve"> </v>
      </c>
      <c r="AC64" s="561" t="str">
        <f t="shared" si="8"/>
        <v xml:space="preserve"> </v>
      </c>
      <c r="AD64" s="562">
        <f t="shared" si="9"/>
        <v>99.389002036659875</v>
      </c>
    </row>
    <row r="65" spans="2:30" ht="15" thickBot="1" x14ac:dyDescent="0.25">
      <c r="B65" s="339" t="s">
        <v>353</v>
      </c>
      <c r="C65" s="338" t="s">
        <v>498</v>
      </c>
      <c r="D65" s="394" t="s">
        <v>335</v>
      </c>
      <c r="E65" s="35" t="s">
        <v>352</v>
      </c>
      <c r="F65" s="30">
        <f t="shared" si="10"/>
        <v>831</v>
      </c>
      <c r="G65" s="27">
        <v>693</v>
      </c>
      <c r="H65" s="27">
        <v>0</v>
      </c>
      <c r="I65" s="27">
        <v>0</v>
      </c>
      <c r="J65" s="27">
        <v>138</v>
      </c>
      <c r="K65" s="30">
        <f t="shared" si="11"/>
        <v>831</v>
      </c>
      <c r="L65" s="27">
        <v>693</v>
      </c>
      <c r="M65" s="27">
        <v>0</v>
      </c>
      <c r="N65" s="27">
        <v>0</v>
      </c>
      <c r="O65" s="27">
        <v>138</v>
      </c>
      <c r="P65" s="30">
        <f t="shared" si="12"/>
        <v>803</v>
      </c>
      <c r="Q65" s="27">
        <v>668</v>
      </c>
      <c r="R65" s="27">
        <v>0</v>
      </c>
      <c r="S65" s="27">
        <v>0</v>
      </c>
      <c r="T65" s="27">
        <v>135</v>
      </c>
      <c r="U65" s="30">
        <f t="shared" si="13"/>
        <v>-28</v>
      </c>
      <c r="V65" s="27">
        <v>-25</v>
      </c>
      <c r="W65" s="27">
        <v>0</v>
      </c>
      <c r="X65" s="27">
        <v>0</v>
      </c>
      <c r="Y65" s="31">
        <v>-3</v>
      </c>
      <c r="Z65" s="560">
        <f t="shared" si="5"/>
        <v>96.63056558363418</v>
      </c>
      <c r="AA65" s="561">
        <f t="shared" si="6"/>
        <v>96.392496392496398</v>
      </c>
      <c r="AB65" s="561" t="str">
        <f t="shared" si="7"/>
        <v xml:space="preserve"> </v>
      </c>
      <c r="AC65" s="561" t="str">
        <f t="shared" si="8"/>
        <v xml:space="preserve"> </v>
      </c>
      <c r="AD65" s="562">
        <f t="shared" si="9"/>
        <v>97.826086956521735</v>
      </c>
    </row>
    <row r="66" spans="2:30" ht="15" thickBot="1" x14ac:dyDescent="0.25">
      <c r="B66" s="339" t="s">
        <v>353</v>
      </c>
      <c r="C66" s="338" t="s">
        <v>505</v>
      </c>
      <c r="D66" s="394" t="s">
        <v>335</v>
      </c>
      <c r="E66" s="35" t="s">
        <v>352</v>
      </c>
      <c r="F66" s="30">
        <f t="shared" si="10"/>
        <v>1883</v>
      </c>
      <c r="G66" s="27">
        <v>837</v>
      </c>
      <c r="H66" s="27">
        <v>0</v>
      </c>
      <c r="I66" s="27">
        <v>0</v>
      </c>
      <c r="J66" s="27">
        <v>1046</v>
      </c>
      <c r="K66" s="30">
        <f t="shared" si="11"/>
        <v>1883</v>
      </c>
      <c r="L66" s="27">
        <v>837</v>
      </c>
      <c r="M66" s="27">
        <v>0</v>
      </c>
      <c r="N66" s="27">
        <v>0</v>
      </c>
      <c r="O66" s="27">
        <v>1046</v>
      </c>
      <c r="P66" s="30">
        <f t="shared" si="12"/>
        <v>1849</v>
      </c>
      <c r="Q66" s="27">
        <v>789</v>
      </c>
      <c r="R66" s="27">
        <v>0</v>
      </c>
      <c r="S66" s="27">
        <v>0</v>
      </c>
      <c r="T66" s="27">
        <v>1060</v>
      </c>
      <c r="U66" s="30">
        <f t="shared" si="13"/>
        <v>-34</v>
      </c>
      <c r="V66" s="27">
        <v>-48</v>
      </c>
      <c r="W66" s="27">
        <v>0</v>
      </c>
      <c r="X66" s="27">
        <v>0</v>
      </c>
      <c r="Y66" s="31">
        <v>14</v>
      </c>
      <c r="Z66" s="560">
        <f t="shared" si="5"/>
        <v>98.194370685077004</v>
      </c>
      <c r="AA66" s="561">
        <f t="shared" si="6"/>
        <v>94.26523297491039</v>
      </c>
      <c r="AB66" s="561" t="str">
        <f t="shared" si="7"/>
        <v xml:space="preserve"> </v>
      </c>
      <c r="AC66" s="561" t="str">
        <f t="shared" si="8"/>
        <v xml:space="preserve"> </v>
      </c>
      <c r="AD66" s="562">
        <f t="shared" si="9"/>
        <v>101.33843212237095</v>
      </c>
    </row>
    <row r="67" spans="2:30" ht="15.75" thickBot="1" x14ac:dyDescent="0.25">
      <c r="B67" s="336" t="s">
        <v>353</v>
      </c>
      <c r="C67" s="335"/>
      <c r="D67" s="393" t="s">
        <v>335</v>
      </c>
      <c r="E67" s="333" t="s">
        <v>352</v>
      </c>
      <c r="F67" s="34">
        <f t="shared" si="10"/>
        <v>4870</v>
      </c>
      <c r="G67" s="331">
        <f>SUM(G64:G66)</f>
        <v>3195</v>
      </c>
      <c r="H67" s="331">
        <f>SUM(H64:H66)</f>
        <v>0</v>
      </c>
      <c r="I67" s="331">
        <f>SUM(I64:I66)</f>
        <v>0</v>
      </c>
      <c r="J67" s="331">
        <f>SUM(J64:J66)</f>
        <v>1675</v>
      </c>
      <c r="K67" s="34">
        <f t="shared" si="11"/>
        <v>4870</v>
      </c>
      <c r="L67" s="331">
        <f>SUM(L64:L66)</f>
        <v>3195</v>
      </c>
      <c r="M67" s="331">
        <f>SUM(M64:M66)</f>
        <v>0</v>
      </c>
      <c r="N67" s="331">
        <f>SUM(N64:N66)</f>
        <v>0</v>
      </c>
      <c r="O67" s="331">
        <f>SUM(O64:O66)</f>
        <v>1675</v>
      </c>
      <c r="P67" s="34">
        <f t="shared" si="12"/>
        <v>4718</v>
      </c>
      <c r="Q67" s="331">
        <f>SUM(Q64:Q66)</f>
        <v>3035</v>
      </c>
      <c r="R67" s="331">
        <f>SUM(R64:R66)</f>
        <v>0</v>
      </c>
      <c r="S67" s="331">
        <f>SUM(S64:S66)</f>
        <v>0</v>
      </c>
      <c r="T67" s="331">
        <f>SUM(T64:T66)</f>
        <v>1683</v>
      </c>
      <c r="U67" s="34">
        <f t="shared" si="13"/>
        <v>-152</v>
      </c>
      <c r="V67" s="331">
        <f>SUM(V64:V66)</f>
        <v>-160</v>
      </c>
      <c r="W67" s="331">
        <f>SUM(W64:W66)</f>
        <v>0</v>
      </c>
      <c r="X67" s="331">
        <f>SUM(X64:X66)</f>
        <v>0</v>
      </c>
      <c r="Y67" s="330">
        <f>SUM(Y64:Y66)</f>
        <v>8</v>
      </c>
      <c r="Z67" s="576">
        <f t="shared" si="5"/>
        <v>96.878850102669404</v>
      </c>
      <c r="AA67" s="565">
        <f t="shared" si="6"/>
        <v>94.992175273865413</v>
      </c>
      <c r="AB67" s="565" t="str">
        <f t="shared" si="7"/>
        <v xml:space="preserve"> </v>
      </c>
      <c r="AC67" s="565" t="str">
        <f t="shared" si="8"/>
        <v xml:space="preserve"> </v>
      </c>
      <c r="AD67" s="567">
        <f t="shared" si="9"/>
        <v>100.47761194029852</v>
      </c>
    </row>
    <row r="68" spans="2:30" ht="15" thickBot="1" x14ac:dyDescent="0.25">
      <c r="B68" s="339" t="s">
        <v>351</v>
      </c>
      <c r="C68" s="338" t="s">
        <v>511</v>
      </c>
      <c r="D68" s="394" t="s">
        <v>335</v>
      </c>
      <c r="E68" s="35" t="s">
        <v>536</v>
      </c>
      <c r="F68" s="30">
        <f t="shared" si="10"/>
        <v>2669</v>
      </c>
      <c r="G68" s="27">
        <v>2228</v>
      </c>
      <c r="H68" s="27">
        <v>0</v>
      </c>
      <c r="I68" s="27">
        <v>0</v>
      </c>
      <c r="J68" s="27">
        <v>441</v>
      </c>
      <c r="K68" s="30">
        <f t="shared" si="11"/>
        <v>2669</v>
      </c>
      <c r="L68" s="27">
        <v>2228</v>
      </c>
      <c r="M68" s="27">
        <v>0</v>
      </c>
      <c r="N68" s="27">
        <v>0</v>
      </c>
      <c r="O68" s="27">
        <v>441</v>
      </c>
      <c r="P68" s="30">
        <f t="shared" si="12"/>
        <v>2518</v>
      </c>
      <c r="Q68" s="27">
        <v>2117</v>
      </c>
      <c r="R68" s="27">
        <v>0</v>
      </c>
      <c r="S68" s="27">
        <v>0</v>
      </c>
      <c r="T68" s="27">
        <v>401</v>
      </c>
      <c r="U68" s="30">
        <f t="shared" si="13"/>
        <v>-151</v>
      </c>
      <c r="V68" s="27">
        <v>-111</v>
      </c>
      <c r="W68" s="27">
        <v>0</v>
      </c>
      <c r="X68" s="27">
        <v>0</v>
      </c>
      <c r="Y68" s="31">
        <v>-40</v>
      </c>
      <c r="Z68" s="560">
        <f t="shared" si="5"/>
        <v>94.342450355938553</v>
      </c>
      <c r="AA68" s="561">
        <f t="shared" si="6"/>
        <v>95.017953321364459</v>
      </c>
      <c r="AB68" s="561" t="str">
        <f t="shared" si="7"/>
        <v xml:space="preserve"> </v>
      </c>
      <c r="AC68" s="561" t="str">
        <f t="shared" si="8"/>
        <v xml:space="preserve"> </v>
      </c>
      <c r="AD68" s="562">
        <f t="shared" si="9"/>
        <v>90.929705215419503</v>
      </c>
    </row>
    <row r="69" spans="2:30" ht="26.25" thickBot="1" x14ac:dyDescent="0.25">
      <c r="B69" s="336" t="s">
        <v>351</v>
      </c>
      <c r="C69" s="335"/>
      <c r="D69" s="393" t="s">
        <v>335</v>
      </c>
      <c r="E69" s="333" t="s">
        <v>536</v>
      </c>
      <c r="F69" s="34">
        <f t="shared" si="10"/>
        <v>2669</v>
      </c>
      <c r="G69" s="331">
        <f>G68</f>
        <v>2228</v>
      </c>
      <c r="H69" s="331">
        <f>H68</f>
        <v>0</v>
      </c>
      <c r="I69" s="331">
        <f>I68</f>
        <v>0</v>
      </c>
      <c r="J69" s="331">
        <f>J68</f>
        <v>441</v>
      </c>
      <c r="K69" s="34">
        <f t="shared" si="11"/>
        <v>2669</v>
      </c>
      <c r="L69" s="331">
        <f>L68</f>
        <v>2228</v>
      </c>
      <c r="M69" s="331">
        <f>M68</f>
        <v>0</v>
      </c>
      <c r="N69" s="331">
        <f>N68</f>
        <v>0</v>
      </c>
      <c r="O69" s="331">
        <f>O68</f>
        <v>441</v>
      </c>
      <c r="P69" s="34">
        <f t="shared" si="12"/>
        <v>2518</v>
      </c>
      <c r="Q69" s="331">
        <f>Q68</f>
        <v>2117</v>
      </c>
      <c r="R69" s="331">
        <f>R68</f>
        <v>0</v>
      </c>
      <c r="S69" s="331">
        <f>S68</f>
        <v>0</v>
      </c>
      <c r="T69" s="331">
        <f>T68</f>
        <v>401</v>
      </c>
      <c r="U69" s="34">
        <f t="shared" si="13"/>
        <v>-151</v>
      </c>
      <c r="V69" s="331">
        <f>V68</f>
        <v>-111</v>
      </c>
      <c r="W69" s="331">
        <f>W68</f>
        <v>0</v>
      </c>
      <c r="X69" s="331">
        <f>X68</f>
        <v>0</v>
      </c>
      <c r="Y69" s="330">
        <f>Y68</f>
        <v>-40</v>
      </c>
      <c r="Z69" s="576">
        <f t="shared" si="5"/>
        <v>94.342450355938553</v>
      </c>
      <c r="AA69" s="565">
        <f t="shared" si="6"/>
        <v>95.017953321364459</v>
      </c>
      <c r="AB69" s="565" t="str">
        <f t="shared" si="7"/>
        <v xml:space="preserve"> </v>
      </c>
      <c r="AC69" s="565" t="str">
        <f t="shared" si="8"/>
        <v xml:space="preserve"> </v>
      </c>
      <c r="AD69" s="567">
        <f t="shared" si="9"/>
        <v>90.929705215419503</v>
      </c>
    </row>
    <row r="70" spans="2:30" ht="15" thickBot="1" x14ac:dyDescent="0.25">
      <c r="B70" s="339" t="s">
        <v>350</v>
      </c>
      <c r="C70" s="338" t="s">
        <v>511</v>
      </c>
      <c r="D70" s="394" t="s">
        <v>335</v>
      </c>
      <c r="E70" s="35" t="s">
        <v>349</v>
      </c>
      <c r="F70" s="30">
        <f t="shared" si="10"/>
        <v>1678</v>
      </c>
      <c r="G70" s="27">
        <v>1642</v>
      </c>
      <c r="H70" s="27">
        <v>0</v>
      </c>
      <c r="I70" s="27">
        <v>0</v>
      </c>
      <c r="J70" s="27">
        <v>36</v>
      </c>
      <c r="K70" s="30">
        <f t="shared" si="11"/>
        <v>1678</v>
      </c>
      <c r="L70" s="27">
        <v>1642</v>
      </c>
      <c r="M70" s="27">
        <v>0</v>
      </c>
      <c r="N70" s="27">
        <v>0</v>
      </c>
      <c r="O70" s="27">
        <v>36</v>
      </c>
      <c r="P70" s="30">
        <f t="shared" si="12"/>
        <v>1554</v>
      </c>
      <c r="Q70" s="27">
        <v>1517</v>
      </c>
      <c r="R70" s="27">
        <v>0</v>
      </c>
      <c r="S70" s="27">
        <v>0</v>
      </c>
      <c r="T70" s="27">
        <v>37</v>
      </c>
      <c r="U70" s="30">
        <f t="shared" si="13"/>
        <v>-124</v>
      </c>
      <c r="V70" s="27">
        <v>-125</v>
      </c>
      <c r="W70" s="27">
        <v>0</v>
      </c>
      <c r="X70" s="27">
        <v>0</v>
      </c>
      <c r="Y70" s="31">
        <v>1</v>
      </c>
      <c r="Z70" s="560">
        <f t="shared" si="5"/>
        <v>92.610250297973778</v>
      </c>
      <c r="AA70" s="561">
        <f t="shared" si="6"/>
        <v>92.387332521315471</v>
      </c>
      <c r="AB70" s="561" t="str">
        <f t="shared" si="7"/>
        <v xml:space="preserve"> </v>
      </c>
      <c r="AC70" s="561" t="str">
        <f t="shared" si="8"/>
        <v xml:space="preserve"> </v>
      </c>
      <c r="AD70" s="562">
        <f t="shared" si="9"/>
        <v>102.77777777777777</v>
      </c>
    </row>
    <row r="71" spans="2:30" ht="15" thickBot="1" x14ac:dyDescent="0.25">
      <c r="B71" s="339" t="s">
        <v>350</v>
      </c>
      <c r="C71" s="338" t="s">
        <v>498</v>
      </c>
      <c r="D71" s="394" t="s">
        <v>335</v>
      </c>
      <c r="E71" s="35" t="s">
        <v>349</v>
      </c>
      <c r="F71" s="30">
        <f t="shared" si="10"/>
        <v>370</v>
      </c>
      <c r="G71" s="27">
        <v>370</v>
      </c>
      <c r="H71" s="27">
        <v>0</v>
      </c>
      <c r="I71" s="27">
        <v>0</v>
      </c>
      <c r="J71" s="27">
        <v>0</v>
      </c>
      <c r="K71" s="30">
        <f t="shared" si="11"/>
        <v>370</v>
      </c>
      <c r="L71" s="27">
        <v>370</v>
      </c>
      <c r="M71" s="27">
        <v>0</v>
      </c>
      <c r="N71" s="27">
        <v>0</v>
      </c>
      <c r="O71" s="27">
        <v>0</v>
      </c>
      <c r="P71" s="30">
        <f t="shared" si="12"/>
        <v>383</v>
      </c>
      <c r="Q71" s="27">
        <v>370</v>
      </c>
      <c r="R71" s="27">
        <v>0</v>
      </c>
      <c r="S71" s="27">
        <v>0</v>
      </c>
      <c r="T71" s="27">
        <v>13</v>
      </c>
      <c r="U71" s="30">
        <f t="shared" si="13"/>
        <v>13</v>
      </c>
      <c r="V71" s="27">
        <v>0</v>
      </c>
      <c r="W71" s="27">
        <v>0</v>
      </c>
      <c r="X71" s="27">
        <v>0</v>
      </c>
      <c r="Y71" s="31">
        <v>13</v>
      </c>
      <c r="Z71" s="560">
        <f t="shared" si="5"/>
        <v>103.51351351351352</v>
      </c>
      <c r="AA71" s="561">
        <f t="shared" si="6"/>
        <v>100</v>
      </c>
      <c r="AB71" s="561" t="str">
        <f t="shared" si="7"/>
        <v xml:space="preserve"> </v>
      </c>
      <c r="AC71" s="561" t="str">
        <f t="shared" si="8"/>
        <v xml:space="preserve"> </v>
      </c>
      <c r="AD71" s="562" t="str">
        <f t="shared" si="9"/>
        <v xml:space="preserve"> </v>
      </c>
    </row>
    <row r="72" spans="2:30" ht="15" thickBot="1" x14ac:dyDescent="0.25">
      <c r="B72" s="339" t="s">
        <v>350</v>
      </c>
      <c r="C72" s="338" t="s">
        <v>505</v>
      </c>
      <c r="D72" s="394" t="s">
        <v>335</v>
      </c>
      <c r="E72" s="35" t="s">
        <v>349</v>
      </c>
      <c r="F72" s="30">
        <f t="shared" si="10"/>
        <v>500</v>
      </c>
      <c r="G72" s="27">
        <v>487</v>
      </c>
      <c r="H72" s="27">
        <v>0</v>
      </c>
      <c r="I72" s="27">
        <v>0</v>
      </c>
      <c r="J72" s="27">
        <v>13</v>
      </c>
      <c r="K72" s="30">
        <f t="shared" si="11"/>
        <v>500</v>
      </c>
      <c r="L72" s="27">
        <v>487</v>
      </c>
      <c r="M72" s="27">
        <v>0</v>
      </c>
      <c r="N72" s="27">
        <v>0</v>
      </c>
      <c r="O72" s="27">
        <v>13</v>
      </c>
      <c r="P72" s="30">
        <f t="shared" si="12"/>
        <v>487</v>
      </c>
      <c r="Q72" s="27">
        <v>487</v>
      </c>
      <c r="R72" s="27">
        <v>0</v>
      </c>
      <c r="S72" s="27">
        <v>0</v>
      </c>
      <c r="T72" s="27">
        <v>0</v>
      </c>
      <c r="U72" s="30">
        <f t="shared" si="13"/>
        <v>-13</v>
      </c>
      <c r="V72" s="27">
        <v>0</v>
      </c>
      <c r="W72" s="27">
        <v>0</v>
      </c>
      <c r="X72" s="27">
        <v>0</v>
      </c>
      <c r="Y72" s="31">
        <v>-13</v>
      </c>
      <c r="Z72" s="560">
        <f t="shared" si="5"/>
        <v>97.399999999999991</v>
      </c>
      <c r="AA72" s="561">
        <f t="shared" si="6"/>
        <v>100</v>
      </c>
      <c r="AB72" s="561" t="str">
        <f t="shared" si="7"/>
        <v xml:space="preserve"> </v>
      </c>
      <c r="AC72" s="561" t="str">
        <f t="shared" si="8"/>
        <v xml:space="preserve"> </v>
      </c>
      <c r="AD72" s="562" t="str">
        <f t="shared" si="9"/>
        <v xml:space="preserve"> </v>
      </c>
    </row>
    <row r="73" spans="2:30" ht="15.75" thickBot="1" x14ac:dyDescent="0.25">
      <c r="B73" s="336" t="s">
        <v>350</v>
      </c>
      <c r="C73" s="335"/>
      <c r="D73" s="393" t="s">
        <v>335</v>
      </c>
      <c r="E73" s="333" t="s">
        <v>349</v>
      </c>
      <c r="F73" s="34">
        <f t="shared" si="10"/>
        <v>2548</v>
      </c>
      <c r="G73" s="331">
        <f>SUM(G70:G72)</f>
        <v>2499</v>
      </c>
      <c r="H73" s="331">
        <f>SUM(H70:H72)</f>
        <v>0</v>
      </c>
      <c r="I73" s="331">
        <f>SUM(I70:I72)</f>
        <v>0</v>
      </c>
      <c r="J73" s="331">
        <f>SUM(J70:J72)</f>
        <v>49</v>
      </c>
      <c r="K73" s="34">
        <f t="shared" si="11"/>
        <v>2548</v>
      </c>
      <c r="L73" s="331">
        <f>SUM(L70:L72)</f>
        <v>2499</v>
      </c>
      <c r="M73" s="331">
        <f>SUM(M70:M72)</f>
        <v>0</v>
      </c>
      <c r="N73" s="331">
        <f>SUM(N70:N72)</f>
        <v>0</v>
      </c>
      <c r="O73" s="331">
        <f>SUM(O70:O72)</f>
        <v>49</v>
      </c>
      <c r="P73" s="34">
        <f t="shared" si="12"/>
        <v>2424</v>
      </c>
      <c r="Q73" s="331">
        <f>SUM(Q70:Q72)</f>
        <v>2374</v>
      </c>
      <c r="R73" s="331">
        <f>SUM(R70:R72)</f>
        <v>0</v>
      </c>
      <c r="S73" s="331">
        <f>SUM(S70:S72)</f>
        <v>0</v>
      </c>
      <c r="T73" s="331">
        <f>SUM(T70:T72)</f>
        <v>50</v>
      </c>
      <c r="U73" s="34">
        <f t="shared" si="13"/>
        <v>-124</v>
      </c>
      <c r="V73" s="331">
        <f>SUM(V70:V72)</f>
        <v>-125</v>
      </c>
      <c r="W73" s="331">
        <f>SUM(W70:W72)</f>
        <v>0</v>
      </c>
      <c r="X73" s="331">
        <f>SUM(X70:X72)</f>
        <v>0</v>
      </c>
      <c r="Y73" s="330">
        <f>SUM(Y70:Y72)</f>
        <v>1</v>
      </c>
      <c r="Z73" s="576">
        <f t="shared" si="5"/>
        <v>95.133437990580845</v>
      </c>
      <c r="AA73" s="565">
        <f t="shared" si="6"/>
        <v>94.997999199679867</v>
      </c>
      <c r="AB73" s="565" t="str">
        <f t="shared" si="7"/>
        <v xml:space="preserve"> </v>
      </c>
      <c r="AC73" s="565" t="str">
        <f t="shared" si="8"/>
        <v xml:space="preserve"> </v>
      </c>
      <c r="AD73" s="567">
        <f t="shared" si="9"/>
        <v>102.04081632653062</v>
      </c>
    </row>
    <row r="74" spans="2:30" ht="26.25" thickBot="1" x14ac:dyDescent="0.25">
      <c r="B74" s="339" t="s">
        <v>348</v>
      </c>
      <c r="C74" s="338" t="s">
        <v>506</v>
      </c>
      <c r="D74" s="394" t="s">
        <v>335</v>
      </c>
      <c r="E74" s="35" t="s">
        <v>573</v>
      </c>
      <c r="F74" s="30">
        <f t="shared" si="10"/>
        <v>5193</v>
      </c>
      <c r="G74" s="27">
        <v>4494</v>
      </c>
      <c r="H74" s="27">
        <v>0</v>
      </c>
      <c r="I74" s="27">
        <v>0</v>
      </c>
      <c r="J74" s="27">
        <v>699</v>
      </c>
      <c r="K74" s="30">
        <f t="shared" si="11"/>
        <v>5193</v>
      </c>
      <c r="L74" s="27">
        <v>4494</v>
      </c>
      <c r="M74" s="27">
        <v>0</v>
      </c>
      <c r="N74" s="27">
        <v>0</v>
      </c>
      <c r="O74" s="27">
        <v>699</v>
      </c>
      <c r="P74" s="30">
        <f t="shared" si="12"/>
        <v>4956</v>
      </c>
      <c r="Q74" s="27">
        <v>4264</v>
      </c>
      <c r="R74" s="27">
        <v>0</v>
      </c>
      <c r="S74" s="27">
        <v>0</v>
      </c>
      <c r="T74" s="27">
        <v>692</v>
      </c>
      <c r="U74" s="30">
        <f t="shared" si="13"/>
        <v>-237</v>
      </c>
      <c r="V74" s="27">
        <v>-230</v>
      </c>
      <c r="W74" s="27">
        <v>0</v>
      </c>
      <c r="X74" s="27">
        <v>0</v>
      </c>
      <c r="Y74" s="31">
        <v>-7</v>
      </c>
      <c r="Z74" s="560">
        <f t="shared" si="5"/>
        <v>95.43616406701328</v>
      </c>
      <c r="AA74" s="561">
        <f t="shared" si="6"/>
        <v>94.882064975522923</v>
      </c>
      <c r="AB74" s="561" t="str">
        <f t="shared" si="7"/>
        <v xml:space="preserve"> </v>
      </c>
      <c r="AC74" s="561" t="str">
        <f t="shared" si="8"/>
        <v xml:space="preserve"> </v>
      </c>
      <c r="AD74" s="562">
        <f t="shared" si="9"/>
        <v>98.998569384835477</v>
      </c>
    </row>
    <row r="75" spans="2:30" ht="31.5" customHeight="1" thickBot="1" x14ac:dyDescent="0.25">
      <c r="B75" s="339" t="s">
        <v>348</v>
      </c>
      <c r="C75" s="338" t="s">
        <v>498</v>
      </c>
      <c r="D75" s="394" t="s">
        <v>335</v>
      </c>
      <c r="E75" s="35" t="s">
        <v>573</v>
      </c>
      <c r="F75" s="30">
        <f t="shared" si="10"/>
        <v>350</v>
      </c>
      <c r="G75" s="27">
        <v>350</v>
      </c>
      <c r="H75" s="27">
        <v>0</v>
      </c>
      <c r="I75" s="27">
        <v>0</v>
      </c>
      <c r="J75" s="27">
        <v>0</v>
      </c>
      <c r="K75" s="30">
        <f t="shared" si="11"/>
        <v>350</v>
      </c>
      <c r="L75" s="27">
        <v>350</v>
      </c>
      <c r="M75" s="27">
        <v>0</v>
      </c>
      <c r="N75" s="27">
        <v>0</v>
      </c>
      <c r="O75" s="27">
        <v>0</v>
      </c>
      <c r="P75" s="30">
        <f t="shared" si="12"/>
        <v>350</v>
      </c>
      <c r="Q75" s="27">
        <v>350</v>
      </c>
      <c r="R75" s="27">
        <v>0</v>
      </c>
      <c r="S75" s="27">
        <v>0</v>
      </c>
      <c r="T75" s="27">
        <v>0</v>
      </c>
      <c r="U75" s="30">
        <f t="shared" si="13"/>
        <v>0</v>
      </c>
      <c r="V75" s="27">
        <v>0</v>
      </c>
      <c r="W75" s="27">
        <v>0</v>
      </c>
      <c r="X75" s="27">
        <v>0</v>
      </c>
      <c r="Y75" s="31">
        <v>0</v>
      </c>
      <c r="Z75" s="560">
        <f t="shared" si="5"/>
        <v>100</v>
      </c>
      <c r="AA75" s="561">
        <f t="shared" si="6"/>
        <v>100</v>
      </c>
      <c r="AB75" s="561" t="str">
        <f t="shared" si="7"/>
        <v xml:space="preserve"> </v>
      </c>
      <c r="AC75" s="561" t="str">
        <f t="shared" si="8"/>
        <v xml:space="preserve"> </v>
      </c>
      <c r="AD75" s="562" t="str">
        <f t="shared" si="9"/>
        <v xml:space="preserve"> </v>
      </c>
    </row>
    <row r="76" spans="2:30" ht="30" customHeight="1" thickBot="1" x14ac:dyDescent="0.25">
      <c r="B76" s="339" t="s">
        <v>348</v>
      </c>
      <c r="C76" s="338" t="s">
        <v>505</v>
      </c>
      <c r="D76" s="394" t="s">
        <v>335</v>
      </c>
      <c r="E76" s="35" t="s">
        <v>573</v>
      </c>
      <c r="F76" s="30">
        <f t="shared" si="10"/>
        <v>750</v>
      </c>
      <c r="G76" s="27">
        <v>750</v>
      </c>
      <c r="H76" s="27">
        <v>0</v>
      </c>
      <c r="I76" s="27">
        <v>0</v>
      </c>
      <c r="J76" s="27">
        <v>0</v>
      </c>
      <c r="K76" s="30">
        <f t="shared" si="11"/>
        <v>750</v>
      </c>
      <c r="L76" s="27">
        <v>750</v>
      </c>
      <c r="M76" s="27">
        <v>0</v>
      </c>
      <c r="N76" s="27">
        <v>0</v>
      </c>
      <c r="O76" s="27">
        <v>0</v>
      </c>
      <c r="P76" s="30">
        <f t="shared" si="12"/>
        <v>740</v>
      </c>
      <c r="Q76" s="27">
        <v>740</v>
      </c>
      <c r="R76" s="27">
        <v>0</v>
      </c>
      <c r="S76" s="27">
        <v>0</v>
      </c>
      <c r="T76" s="27">
        <v>0</v>
      </c>
      <c r="U76" s="30">
        <f t="shared" si="13"/>
        <v>-10</v>
      </c>
      <c r="V76" s="27">
        <v>-10</v>
      </c>
      <c r="W76" s="27">
        <v>0</v>
      </c>
      <c r="X76" s="27">
        <v>0</v>
      </c>
      <c r="Y76" s="31">
        <v>0</v>
      </c>
      <c r="Z76" s="560">
        <f t="shared" si="5"/>
        <v>98.666666666666671</v>
      </c>
      <c r="AA76" s="561">
        <f t="shared" si="6"/>
        <v>98.666666666666671</v>
      </c>
      <c r="AB76" s="561" t="str">
        <f t="shared" si="7"/>
        <v xml:space="preserve"> </v>
      </c>
      <c r="AC76" s="561" t="str">
        <f t="shared" si="8"/>
        <v xml:space="preserve"> </v>
      </c>
      <c r="AD76" s="562" t="str">
        <f t="shared" si="9"/>
        <v xml:space="preserve"> </v>
      </c>
    </row>
    <row r="77" spans="2:30" ht="26.25" thickBot="1" x14ac:dyDescent="0.25">
      <c r="B77" s="336" t="s">
        <v>348</v>
      </c>
      <c r="C77" s="335"/>
      <c r="D77" s="393" t="s">
        <v>335</v>
      </c>
      <c r="E77" s="333" t="s">
        <v>573</v>
      </c>
      <c r="F77" s="34">
        <f t="shared" si="10"/>
        <v>6293</v>
      </c>
      <c r="G77" s="331">
        <f>SUM(G74:G76)</f>
        <v>5594</v>
      </c>
      <c r="H77" s="331">
        <f>SUM(H74:H76)</f>
        <v>0</v>
      </c>
      <c r="I77" s="331">
        <f>SUM(I74:I76)</f>
        <v>0</v>
      </c>
      <c r="J77" s="331">
        <f>SUM(J74:J76)</f>
        <v>699</v>
      </c>
      <c r="K77" s="34">
        <f t="shared" si="11"/>
        <v>6293</v>
      </c>
      <c r="L77" s="331">
        <f>SUM(L74:L76)</f>
        <v>5594</v>
      </c>
      <c r="M77" s="331">
        <f>SUM(M74:M76)</f>
        <v>0</v>
      </c>
      <c r="N77" s="331">
        <f>SUM(N74:N76)</f>
        <v>0</v>
      </c>
      <c r="O77" s="331">
        <f>SUM(O74:O76)</f>
        <v>699</v>
      </c>
      <c r="P77" s="34">
        <f t="shared" si="12"/>
        <v>6046</v>
      </c>
      <c r="Q77" s="331">
        <f>SUM(Q74:Q76)</f>
        <v>5354</v>
      </c>
      <c r="R77" s="331">
        <f>SUM(R74:R76)</f>
        <v>0</v>
      </c>
      <c r="S77" s="331">
        <f>SUM(S74:S76)</f>
        <v>0</v>
      </c>
      <c r="T77" s="331">
        <f>SUM(T74:T76)</f>
        <v>692</v>
      </c>
      <c r="U77" s="34">
        <f t="shared" si="13"/>
        <v>-247</v>
      </c>
      <c r="V77" s="331">
        <f>SUM(V74:V76)</f>
        <v>-240</v>
      </c>
      <c r="W77" s="331">
        <f>SUM(W74:W76)</f>
        <v>0</v>
      </c>
      <c r="X77" s="331">
        <f>SUM(X74:X76)</f>
        <v>0</v>
      </c>
      <c r="Y77" s="330">
        <f>SUM(Y74:Y76)</f>
        <v>-7</v>
      </c>
      <c r="Z77" s="576">
        <f t="shared" si="5"/>
        <v>96.075003972668043</v>
      </c>
      <c r="AA77" s="565">
        <f t="shared" si="6"/>
        <v>95.709688952449056</v>
      </c>
      <c r="AB77" s="565" t="str">
        <f t="shared" si="7"/>
        <v xml:space="preserve"> </v>
      </c>
      <c r="AC77" s="565" t="str">
        <f t="shared" si="8"/>
        <v xml:space="preserve"> </v>
      </c>
      <c r="AD77" s="567">
        <f t="shared" si="9"/>
        <v>98.998569384835477</v>
      </c>
    </row>
    <row r="78" spans="2:30" ht="15" thickBot="1" x14ac:dyDescent="0.25">
      <c r="B78" s="339" t="s">
        <v>347</v>
      </c>
      <c r="C78" s="338" t="s">
        <v>511</v>
      </c>
      <c r="D78" s="394" t="s">
        <v>335</v>
      </c>
      <c r="E78" s="35" t="s">
        <v>346</v>
      </c>
      <c r="F78" s="30">
        <f t="shared" ref="F78:F97" si="14">SUM(G78:J78)</f>
        <v>1595</v>
      </c>
      <c r="G78" s="27">
        <v>1586</v>
      </c>
      <c r="H78" s="27">
        <v>0</v>
      </c>
      <c r="I78" s="27">
        <v>0</v>
      </c>
      <c r="J78" s="27">
        <v>9</v>
      </c>
      <c r="K78" s="30">
        <f t="shared" ref="K78:K97" si="15">SUM(L78:O78)</f>
        <v>1595</v>
      </c>
      <c r="L78" s="27">
        <v>1586</v>
      </c>
      <c r="M78" s="27">
        <v>0</v>
      </c>
      <c r="N78" s="27">
        <v>0</v>
      </c>
      <c r="O78" s="27">
        <v>9</v>
      </c>
      <c r="P78" s="30">
        <f t="shared" ref="P78:P97" si="16">SUM(Q78:T78)</f>
        <v>1764</v>
      </c>
      <c r="Q78" s="27">
        <v>1755</v>
      </c>
      <c r="R78" s="27">
        <v>0</v>
      </c>
      <c r="S78" s="27">
        <v>0</v>
      </c>
      <c r="T78" s="27">
        <v>9</v>
      </c>
      <c r="U78" s="30">
        <f t="shared" ref="U78:U97" si="17">SUM(V78:Y78)</f>
        <v>169</v>
      </c>
      <c r="V78" s="27">
        <v>169</v>
      </c>
      <c r="W78" s="27">
        <v>0</v>
      </c>
      <c r="X78" s="27">
        <v>0</v>
      </c>
      <c r="Y78" s="31">
        <v>0</v>
      </c>
      <c r="Z78" s="560">
        <f t="shared" si="5"/>
        <v>110.59561128526644</v>
      </c>
      <c r="AA78" s="561">
        <f t="shared" si="6"/>
        <v>110.65573770491804</v>
      </c>
      <c r="AB78" s="561" t="str">
        <f t="shared" si="7"/>
        <v xml:space="preserve"> </v>
      </c>
      <c r="AC78" s="561" t="str">
        <f t="shared" si="8"/>
        <v xml:space="preserve"> </v>
      </c>
      <c r="AD78" s="562">
        <f t="shared" si="9"/>
        <v>100</v>
      </c>
    </row>
    <row r="79" spans="2:30" ht="15" thickBot="1" x14ac:dyDescent="0.25">
      <c r="B79" s="339" t="s">
        <v>347</v>
      </c>
      <c r="C79" s="338" t="s">
        <v>506</v>
      </c>
      <c r="D79" s="394" t="s">
        <v>335</v>
      </c>
      <c r="E79" s="35" t="s">
        <v>346</v>
      </c>
      <c r="F79" s="30">
        <f t="shared" si="14"/>
        <v>3592</v>
      </c>
      <c r="G79" s="27">
        <v>2325</v>
      </c>
      <c r="H79" s="27">
        <v>0</v>
      </c>
      <c r="I79" s="27">
        <v>0</v>
      </c>
      <c r="J79" s="27">
        <v>1267</v>
      </c>
      <c r="K79" s="30">
        <f t="shared" si="15"/>
        <v>3592</v>
      </c>
      <c r="L79" s="27">
        <v>2325</v>
      </c>
      <c r="M79" s="27">
        <v>0</v>
      </c>
      <c r="N79" s="27">
        <v>0</v>
      </c>
      <c r="O79" s="27">
        <v>1267</v>
      </c>
      <c r="P79" s="30">
        <f t="shared" si="16"/>
        <v>3302</v>
      </c>
      <c r="Q79" s="27">
        <v>1985</v>
      </c>
      <c r="R79" s="27">
        <v>0</v>
      </c>
      <c r="S79" s="27">
        <v>0</v>
      </c>
      <c r="T79" s="27">
        <v>1317</v>
      </c>
      <c r="U79" s="30">
        <f t="shared" si="17"/>
        <v>-290</v>
      </c>
      <c r="V79" s="27">
        <v>-340</v>
      </c>
      <c r="W79" s="27">
        <v>0</v>
      </c>
      <c r="X79" s="27">
        <v>0</v>
      </c>
      <c r="Y79" s="31">
        <v>50</v>
      </c>
      <c r="Z79" s="560">
        <f t="shared" ref="Z79:Z98" si="18">IF(P79=0," ",IF(F79=0," ",P79/F79*100))</f>
        <v>91.926503340757236</v>
      </c>
      <c r="AA79" s="561">
        <f t="shared" ref="AA79:AA98" si="19">IF(Q79=0," ",IF(G79=0," ",Q79/G79*100))</f>
        <v>85.376344086021504</v>
      </c>
      <c r="AB79" s="561" t="str">
        <f t="shared" ref="AB79:AB98" si="20">IF(R79=0," ",IF(H79=0," ",R79/H79*100))</f>
        <v xml:space="preserve"> </v>
      </c>
      <c r="AC79" s="561" t="str">
        <f t="shared" ref="AC79:AC98" si="21">IF(S79=0," ",IF(I79=0," ",S79/I79*100))</f>
        <v xml:space="preserve"> </v>
      </c>
      <c r="AD79" s="562">
        <f t="shared" ref="AD79:AD98" si="22">IF(T79=0," ",IF(J79=0," ",T79/J79*100))</f>
        <v>103.94632991318073</v>
      </c>
    </row>
    <row r="80" spans="2:30" ht="15" thickBot="1" x14ac:dyDescent="0.25">
      <c r="B80" s="339" t="s">
        <v>347</v>
      </c>
      <c r="C80" s="338" t="s">
        <v>498</v>
      </c>
      <c r="D80" s="394" t="s">
        <v>335</v>
      </c>
      <c r="E80" s="35" t="s">
        <v>346</v>
      </c>
      <c r="F80" s="30">
        <f t="shared" si="14"/>
        <v>723</v>
      </c>
      <c r="G80" s="27">
        <v>707</v>
      </c>
      <c r="H80" s="27">
        <v>0</v>
      </c>
      <c r="I80" s="27">
        <v>0</v>
      </c>
      <c r="J80" s="27">
        <v>16</v>
      </c>
      <c r="K80" s="30">
        <f t="shared" si="15"/>
        <v>723</v>
      </c>
      <c r="L80" s="27">
        <v>707</v>
      </c>
      <c r="M80" s="27">
        <v>0</v>
      </c>
      <c r="N80" s="27">
        <v>0</v>
      </c>
      <c r="O80" s="27">
        <v>16</v>
      </c>
      <c r="P80" s="30">
        <f t="shared" si="16"/>
        <v>664</v>
      </c>
      <c r="Q80" s="27">
        <v>647</v>
      </c>
      <c r="R80" s="27">
        <v>0</v>
      </c>
      <c r="S80" s="27">
        <v>0</v>
      </c>
      <c r="T80" s="27">
        <v>17</v>
      </c>
      <c r="U80" s="30">
        <f t="shared" si="17"/>
        <v>-59</v>
      </c>
      <c r="V80" s="27">
        <v>-60</v>
      </c>
      <c r="W80" s="27">
        <v>0</v>
      </c>
      <c r="X80" s="27">
        <v>0</v>
      </c>
      <c r="Y80" s="31">
        <v>1</v>
      </c>
      <c r="Z80" s="560">
        <f t="shared" si="18"/>
        <v>91.839557399723375</v>
      </c>
      <c r="AA80" s="561">
        <f t="shared" si="19"/>
        <v>91.51343705799151</v>
      </c>
      <c r="AB80" s="561" t="str">
        <f t="shared" si="20"/>
        <v xml:space="preserve"> </v>
      </c>
      <c r="AC80" s="561" t="str">
        <f t="shared" si="21"/>
        <v xml:space="preserve"> </v>
      </c>
      <c r="AD80" s="562">
        <f t="shared" si="22"/>
        <v>106.25</v>
      </c>
    </row>
    <row r="81" spans="2:30" ht="15.75" thickBot="1" x14ac:dyDescent="0.25">
      <c r="B81" s="336" t="s">
        <v>347</v>
      </c>
      <c r="C81" s="335"/>
      <c r="D81" s="393" t="s">
        <v>335</v>
      </c>
      <c r="E81" s="333" t="s">
        <v>346</v>
      </c>
      <c r="F81" s="34">
        <f t="shared" si="14"/>
        <v>5910</v>
      </c>
      <c r="G81" s="331">
        <f>SUM(G78:G80)</f>
        <v>4618</v>
      </c>
      <c r="H81" s="331">
        <f>SUM(H78:H80)</f>
        <v>0</v>
      </c>
      <c r="I81" s="331">
        <f>SUM(I78:I80)</f>
        <v>0</v>
      </c>
      <c r="J81" s="331">
        <f>SUM(J78:J80)</f>
        <v>1292</v>
      </c>
      <c r="K81" s="34">
        <f t="shared" si="15"/>
        <v>5910</v>
      </c>
      <c r="L81" s="331">
        <f>SUM(L78:L80)</f>
        <v>4618</v>
      </c>
      <c r="M81" s="331">
        <f>SUM(M78:M80)</f>
        <v>0</v>
      </c>
      <c r="N81" s="331">
        <f>SUM(N78:N80)</f>
        <v>0</v>
      </c>
      <c r="O81" s="331">
        <f>SUM(O78:O80)</f>
        <v>1292</v>
      </c>
      <c r="P81" s="34">
        <f t="shared" si="16"/>
        <v>5730</v>
      </c>
      <c r="Q81" s="331">
        <f>SUM(Q78:Q80)</f>
        <v>4387</v>
      </c>
      <c r="R81" s="331">
        <f>SUM(R78:R80)</f>
        <v>0</v>
      </c>
      <c r="S81" s="331">
        <f>SUM(S78:S80)</f>
        <v>0</v>
      </c>
      <c r="T81" s="331">
        <f>SUM(T78:T80)</f>
        <v>1343</v>
      </c>
      <c r="U81" s="34">
        <f t="shared" si="17"/>
        <v>-180</v>
      </c>
      <c r="V81" s="331">
        <f>SUM(V78:V80)</f>
        <v>-231</v>
      </c>
      <c r="W81" s="331">
        <f>SUM(W78:W80)</f>
        <v>0</v>
      </c>
      <c r="X81" s="331">
        <f>SUM(X78:X80)</f>
        <v>0</v>
      </c>
      <c r="Y81" s="330">
        <f>SUM(Y78:Y80)</f>
        <v>51</v>
      </c>
      <c r="Z81" s="576">
        <f t="shared" si="18"/>
        <v>96.954314720812178</v>
      </c>
      <c r="AA81" s="565">
        <f t="shared" si="19"/>
        <v>94.997834560415768</v>
      </c>
      <c r="AB81" s="565" t="str">
        <f t="shared" si="20"/>
        <v xml:space="preserve"> </v>
      </c>
      <c r="AC81" s="565" t="str">
        <f t="shared" si="21"/>
        <v xml:space="preserve"> </v>
      </c>
      <c r="AD81" s="567">
        <f t="shared" si="22"/>
        <v>103.94736842105263</v>
      </c>
    </row>
    <row r="82" spans="2:30" ht="15" thickBot="1" x14ac:dyDescent="0.25">
      <c r="B82" s="339" t="s">
        <v>345</v>
      </c>
      <c r="C82" s="338" t="s">
        <v>514</v>
      </c>
      <c r="D82" s="394" t="s">
        <v>335</v>
      </c>
      <c r="E82" s="35" t="s">
        <v>344</v>
      </c>
      <c r="F82" s="30">
        <f t="shared" si="14"/>
        <v>1222</v>
      </c>
      <c r="G82" s="27">
        <v>1117</v>
      </c>
      <c r="H82" s="27">
        <v>0</v>
      </c>
      <c r="I82" s="27">
        <v>0</v>
      </c>
      <c r="J82" s="27">
        <v>105</v>
      </c>
      <c r="K82" s="30">
        <f t="shared" si="15"/>
        <v>1222</v>
      </c>
      <c r="L82" s="27">
        <v>1117</v>
      </c>
      <c r="M82" s="27">
        <v>0</v>
      </c>
      <c r="N82" s="27">
        <v>0</v>
      </c>
      <c r="O82" s="27">
        <v>105</v>
      </c>
      <c r="P82" s="30">
        <f t="shared" si="16"/>
        <v>1138</v>
      </c>
      <c r="Q82" s="27">
        <v>1061</v>
      </c>
      <c r="R82" s="27">
        <v>0</v>
      </c>
      <c r="S82" s="27">
        <v>0</v>
      </c>
      <c r="T82" s="27">
        <v>77</v>
      </c>
      <c r="U82" s="30">
        <f t="shared" si="17"/>
        <v>-84</v>
      </c>
      <c r="V82" s="27">
        <v>-56</v>
      </c>
      <c r="W82" s="27">
        <v>0</v>
      </c>
      <c r="X82" s="27">
        <v>0</v>
      </c>
      <c r="Y82" s="31">
        <v>-28</v>
      </c>
      <c r="Z82" s="560">
        <f t="shared" si="18"/>
        <v>93.126022913256961</v>
      </c>
      <c r="AA82" s="561">
        <f t="shared" si="19"/>
        <v>94.986571172784238</v>
      </c>
      <c r="AB82" s="561" t="str">
        <f t="shared" si="20"/>
        <v xml:space="preserve"> </v>
      </c>
      <c r="AC82" s="561" t="str">
        <f t="shared" si="21"/>
        <v xml:space="preserve"> </v>
      </c>
      <c r="AD82" s="562">
        <f t="shared" si="22"/>
        <v>73.333333333333329</v>
      </c>
    </row>
    <row r="83" spans="2:30" ht="15.75" thickBot="1" x14ac:dyDescent="0.25">
      <c r="B83" s="336" t="s">
        <v>345</v>
      </c>
      <c r="C83" s="335"/>
      <c r="D83" s="393" t="s">
        <v>335</v>
      </c>
      <c r="E83" s="333" t="s">
        <v>344</v>
      </c>
      <c r="F83" s="34">
        <f t="shared" si="14"/>
        <v>1222</v>
      </c>
      <c r="G83" s="331">
        <f>G82</f>
        <v>1117</v>
      </c>
      <c r="H83" s="331">
        <f>H82</f>
        <v>0</v>
      </c>
      <c r="I83" s="331">
        <f>I82</f>
        <v>0</v>
      </c>
      <c r="J83" s="331">
        <f>J82</f>
        <v>105</v>
      </c>
      <c r="K83" s="34">
        <f t="shared" si="15"/>
        <v>1222</v>
      </c>
      <c r="L83" s="331">
        <f>L82</f>
        <v>1117</v>
      </c>
      <c r="M83" s="331">
        <f>M82</f>
        <v>0</v>
      </c>
      <c r="N83" s="331">
        <f>N82</f>
        <v>0</v>
      </c>
      <c r="O83" s="331">
        <f>O82</f>
        <v>105</v>
      </c>
      <c r="P83" s="34">
        <f t="shared" si="16"/>
        <v>1138</v>
      </c>
      <c r="Q83" s="331">
        <f>Q82</f>
        <v>1061</v>
      </c>
      <c r="R83" s="331">
        <f>R82</f>
        <v>0</v>
      </c>
      <c r="S83" s="331">
        <f>S82</f>
        <v>0</v>
      </c>
      <c r="T83" s="331">
        <f>T82</f>
        <v>77</v>
      </c>
      <c r="U83" s="34">
        <f t="shared" si="17"/>
        <v>-84</v>
      </c>
      <c r="V83" s="331">
        <f>V82</f>
        <v>-56</v>
      </c>
      <c r="W83" s="331">
        <f>W82</f>
        <v>0</v>
      </c>
      <c r="X83" s="331">
        <f>X82</f>
        <v>0</v>
      </c>
      <c r="Y83" s="330">
        <f>Y82</f>
        <v>-28</v>
      </c>
      <c r="Z83" s="576">
        <f t="shared" si="18"/>
        <v>93.126022913256961</v>
      </c>
      <c r="AA83" s="565">
        <f t="shared" si="19"/>
        <v>94.986571172784238</v>
      </c>
      <c r="AB83" s="565" t="str">
        <f t="shared" si="20"/>
        <v xml:space="preserve"> </v>
      </c>
      <c r="AC83" s="565" t="str">
        <f t="shared" si="21"/>
        <v xml:space="preserve"> </v>
      </c>
      <c r="AD83" s="567">
        <f t="shared" si="22"/>
        <v>73.333333333333329</v>
      </c>
    </row>
    <row r="84" spans="2:30" ht="15" thickBot="1" x14ac:dyDescent="0.25">
      <c r="B84" s="339" t="s">
        <v>343</v>
      </c>
      <c r="C84" s="338" t="s">
        <v>511</v>
      </c>
      <c r="D84" s="394" t="s">
        <v>335</v>
      </c>
      <c r="E84" s="35" t="s">
        <v>535</v>
      </c>
      <c r="F84" s="30">
        <f t="shared" si="14"/>
        <v>1685</v>
      </c>
      <c r="G84" s="27">
        <v>1685</v>
      </c>
      <c r="H84" s="27">
        <v>0</v>
      </c>
      <c r="I84" s="27">
        <v>0</v>
      </c>
      <c r="J84" s="27">
        <v>0</v>
      </c>
      <c r="K84" s="30">
        <f t="shared" si="15"/>
        <v>1685</v>
      </c>
      <c r="L84" s="27">
        <v>1685</v>
      </c>
      <c r="M84" s="27">
        <v>0</v>
      </c>
      <c r="N84" s="27">
        <v>0</v>
      </c>
      <c r="O84" s="27">
        <v>0</v>
      </c>
      <c r="P84" s="30">
        <f t="shared" si="16"/>
        <v>1576</v>
      </c>
      <c r="Q84" s="27">
        <v>1576</v>
      </c>
      <c r="R84" s="27">
        <v>0</v>
      </c>
      <c r="S84" s="27">
        <v>0</v>
      </c>
      <c r="T84" s="27">
        <v>0</v>
      </c>
      <c r="U84" s="30">
        <f t="shared" si="17"/>
        <v>-109</v>
      </c>
      <c r="V84" s="27">
        <v>-109</v>
      </c>
      <c r="W84" s="27">
        <v>0</v>
      </c>
      <c r="X84" s="27">
        <v>0</v>
      </c>
      <c r="Y84" s="31">
        <v>0</v>
      </c>
      <c r="Z84" s="560">
        <f t="shared" si="18"/>
        <v>93.531157270029681</v>
      </c>
      <c r="AA84" s="561">
        <f t="shared" si="19"/>
        <v>93.531157270029681</v>
      </c>
      <c r="AB84" s="561" t="str">
        <f t="shared" si="20"/>
        <v xml:space="preserve"> </v>
      </c>
      <c r="AC84" s="561" t="str">
        <f t="shared" si="21"/>
        <v xml:space="preserve"> </v>
      </c>
      <c r="AD84" s="562" t="str">
        <f t="shared" si="22"/>
        <v xml:space="preserve"> </v>
      </c>
    </row>
    <row r="85" spans="2:30" ht="15" thickBot="1" x14ac:dyDescent="0.25">
      <c r="B85" s="339" t="s">
        <v>343</v>
      </c>
      <c r="C85" s="338" t="s">
        <v>506</v>
      </c>
      <c r="D85" s="394" t="s">
        <v>335</v>
      </c>
      <c r="E85" s="35" t="s">
        <v>535</v>
      </c>
      <c r="F85" s="30">
        <f t="shared" si="14"/>
        <v>2270</v>
      </c>
      <c r="G85" s="27">
        <v>1440</v>
      </c>
      <c r="H85" s="27">
        <v>0</v>
      </c>
      <c r="I85" s="27">
        <v>0</v>
      </c>
      <c r="J85" s="27">
        <v>830</v>
      </c>
      <c r="K85" s="30">
        <f t="shared" si="15"/>
        <v>2270</v>
      </c>
      <c r="L85" s="27">
        <v>1440</v>
      </c>
      <c r="M85" s="27">
        <v>0</v>
      </c>
      <c r="N85" s="27">
        <v>0</v>
      </c>
      <c r="O85" s="27">
        <v>830</v>
      </c>
      <c r="P85" s="30">
        <f t="shared" si="16"/>
        <v>2320</v>
      </c>
      <c r="Q85" s="27">
        <v>1390</v>
      </c>
      <c r="R85" s="27">
        <v>0</v>
      </c>
      <c r="S85" s="27">
        <v>0</v>
      </c>
      <c r="T85" s="27">
        <v>930</v>
      </c>
      <c r="U85" s="30">
        <f t="shared" si="17"/>
        <v>50</v>
      </c>
      <c r="V85" s="27">
        <v>-50</v>
      </c>
      <c r="W85" s="27">
        <v>0</v>
      </c>
      <c r="X85" s="27">
        <v>0</v>
      </c>
      <c r="Y85" s="31">
        <v>100</v>
      </c>
      <c r="Z85" s="560">
        <f t="shared" si="18"/>
        <v>102.20264317180616</v>
      </c>
      <c r="AA85" s="561">
        <f t="shared" si="19"/>
        <v>96.527777777777786</v>
      </c>
      <c r="AB85" s="561" t="str">
        <f t="shared" si="20"/>
        <v xml:space="preserve"> </v>
      </c>
      <c r="AC85" s="561" t="str">
        <f t="shared" si="21"/>
        <v xml:space="preserve"> </v>
      </c>
      <c r="AD85" s="562">
        <f t="shared" si="22"/>
        <v>112.04819277108433</v>
      </c>
    </row>
    <row r="86" spans="2:30" ht="15" thickBot="1" x14ac:dyDescent="0.25">
      <c r="B86" s="339" t="s">
        <v>343</v>
      </c>
      <c r="C86" s="338" t="s">
        <v>514</v>
      </c>
      <c r="D86" s="394" t="s">
        <v>335</v>
      </c>
      <c r="E86" s="35" t="s">
        <v>535</v>
      </c>
      <c r="F86" s="30">
        <f t="shared" si="14"/>
        <v>1310</v>
      </c>
      <c r="G86" s="27">
        <v>1310</v>
      </c>
      <c r="H86" s="27">
        <v>0</v>
      </c>
      <c r="I86" s="27">
        <v>0</v>
      </c>
      <c r="J86" s="27">
        <v>0</v>
      </c>
      <c r="K86" s="30">
        <f t="shared" si="15"/>
        <v>1310</v>
      </c>
      <c r="L86" s="27">
        <v>1310</v>
      </c>
      <c r="M86" s="27">
        <v>0</v>
      </c>
      <c r="N86" s="27">
        <v>0</v>
      </c>
      <c r="O86" s="27">
        <v>0</v>
      </c>
      <c r="P86" s="30">
        <f t="shared" si="16"/>
        <v>1251</v>
      </c>
      <c r="Q86" s="27">
        <v>1251</v>
      </c>
      <c r="R86" s="27">
        <v>0</v>
      </c>
      <c r="S86" s="27">
        <v>0</v>
      </c>
      <c r="T86" s="27">
        <v>0</v>
      </c>
      <c r="U86" s="30">
        <f t="shared" si="17"/>
        <v>-59</v>
      </c>
      <c r="V86" s="27">
        <v>-59</v>
      </c>
      <c r="W86" s="27">
        <v>0</v>
      </c>
      <c r="X86" s="27">
        <v>0</v>
      </c>
      <c r="Y86" s="31">
        <v>0</v>
      </c>
      <c r="Z86" s="560">
        <f t="shared" si="18"/>
        <v>95.496183206106863</v>
      </c>
      <c r="AA86" s="561">
        <f t="shared" si="19"/>
        <v>95.496183206106863</v>
      </c>
      <c r="AB86" s="561" t="str">
        <f t="shared" si="20"/>
        <v xml:space="preserve"> </v>
      </c>
      <c r="AC86" s="561" t="str">
        <f t="shared" si="21"/>
        <v xml:space="preserve"> </v>
      </c>
      <c r="AD86" s="562" t="str">
        <f t="shared" si="22"/>
        <v xml:space="preserve"> </v>
      </c>
    </row>
    <row r="87" spans="2:30" ht="15" thickBot="1" x14ac:dyDescent="0.25">
      <c r="B87" s="339" t="s">
        <v>343</v>
      </c>
      <c r="C87" s="338" t="s">
        <v>498</v>
      </c>
      <c r="D87" s="394" t="s">
        <v>335</v>
      </c>
      <c r="E87" s="35" t="s">
        <v>535</v>
      </c>
      <c r="F87" s="30">
        <f t="shared" si="14"/>
        <v>243</v>
      </c>
      <c r="G87" s="27">
        <v>243</v>
      </c>
      <c r="H87" s="27">
        <v>0</v>
      </c>
      <c r="I87" s="27">
        <v>0</v>
      </c>
      <c r="J87" s="27">
        <v>0</v>
      </c>
      <c r="K87" s="30">
        <f t="shared" si="15"/>
        <v>243</v>
      </c>
      <c r="L87" s="27">
        <v>243</v>
      </c>
      <c r="M87" s="27">
        <v>0</v>
      </c>
      <c r="N87" s="27">
        <v>0</v>
      </c>
      <c r="O87" s="27">
        <v>0</v>
      </c>
      <c r="P87" s="30">
        <f t="shared" si="16"/>
        <v>232</v>
      </c>
      <c r="Q87" s="27">
        <v>232</v>
      </c>
      <c r="R87" s="27">
        <v>0</v>
      </c>
      <c r="S87" s="27">
        <v>0</v>
      </c>
      <c r="T87" s="27">
        <v>0</v>
      </c>
      <c r="U87" s="30">
        <f t="shared" si="17"/>
        <v>-11</v>
      </c>
      <c r="V87" s="27">
        <v>-11</v>
      </c>
      <c r="W87" s="27">
        <v>0</v>
      </c>
      <c r="X87" s="27">
        <v>0</v>
      </c>
      <c r="Y87" s="31">
        <v>0</v>
      </c>
      <c r="Z87" s="560">
        <f t="shared" si="18"/>
        <v>95.473251028806587</v>
      </c>
      <c r="AA87" s="561">
        <f t="shared" si="19"/>
        <v>95.473251028806587</v>
      </c>
      <c r="AB87" s="561" t="str">
        <f t="shared" si="20"/>
        <v xml:space="preserve"> </v>
      </c>
      <c r="AC87" s="561" t="str">
        <f t="shared" si="21"/>
        <v xml:space="preserve"> </v>
      </c>
      <c r="AD87" s="562" t="str">
        <f t="shared" si="22"/>
        <v xml:space="preserve"> </v>
      </c>
    </row>
    <row r="88" spans="2:30" ht="15" thickBot="1" x14ac:dyDescent="0.25">
      <c r="B88" s="339" t="s">
        <v>343</v>
      </c>
      <c r="C88" s="338" t="s">
        <v>505</v>
      </c>
      <c r="D88" s="394" t="s">
        <v>335</v>
      </c>
      <c r="E88" s="35" t="s">
        <v>535</v>
      </c>
      <c r="F88" s="30">
        <f t="shared" si="14"/>
        <v>200</v>
      </c>
      <c r="G88" s="27">
        <v>200</v>
      </c>
      <c r="H88" s="27">
        <v>0</v>
      </c>
      <c r="I88" s="27">
        <v>0</v>
      </c>
      <c r="J88" s="27">
        <v>0</v>
      </c>
      <c r="K88" s="30">
        <f t="shared" si="15"/>
        <v>200</v>
      </c>
      <c r="L88" s="27">
        <v>200</v>
      </c>
      <c r="M88" s="27">
        <v>0</v>
      </c>
      <c r="N88" s="27">
        <v>0</v>
      </c>
      <c r="O88" s="27">
        <v>0</v>
      </c>
      <c r="P88" s="30">
        <f t="shared" si="16"/>
        <v>185</v>
      </c>
      <c r="Q88" s="27">
        <v>185</v>
      </c>
      <c r="R88" s="27">
        <v>0</v>
      </c>
      <c r="S88" s="27">
        <v>0</v>
      </c>
      <c r="T88" s="27">
        <v>0</v>
      </c>
      <c r="U88" s="30">
        <f t="shared" si="17"/>
        <v>-15</v>
      </c>
      <c r="V88" s="27">
        <v>-15</v>
      </c>
      <c r="W88" s="27">
        <v>0</v>
      </c>
      <c r="X88" s="27">
        <v>0</v>
      </c>
      <c r="Y88" s="31">
        <v>0</v>
      </c>
      <c r="Z88" s="560">
        <f t="shared" si="18"/>
        <v>92.5</v>
      </c>
      <c r="AA88" s="561">
        <f t="shared" si="19"/>
        <v>92.5</v>
      </c>
      <c r="AB88" s="561" t="str">
        <f t="shared" si="20"/>
        <v xml:space="preserve"> </v>
      </c>
      <c r="AC88" s="561" t="str">
        <f t="shared" si="21"/>
        <v xml:space="preserve"> </v>
      </c>
      <c r="AD88" s="562" t="str">
        <f t="shared" si="22"/>
        <v xml:space="preserve"> </v>
      </c>
    </row>
    <row r="89" spans="2:30" ht="26.25" thickBot="1" x14ac:dyDescent="0.25">
      <c r="B89" s="336" t="s">
        <v>343</v>
      </c>
      <c r="C89" s="335"/>
      <c r="D89" s="393" t="s">
        <v>335</v>
      </c>
      <c r="E89" s="333" t="s">
        <v>535</v>
      </c>
      <c r="F89" s="34">
        <f t="shared" si="14"/>
        <v>5708</v>
      </c>
      <c r="G89" s="331">
        <f>SUM(G84:G88)</f>
        <v>4878</v>
      </c>
      <c r="H89" s="331">
        <f>SUM(H84:H88)</f>
        <v>0</v>
      </c>
      <c r="I89" s="331">
        <f>SUM(I84:I88)</f>
        <v>0</v>
      </c>
      <c r="J89" s="331">
        <f>SUM(J84:J88)</f>
        <v>830</v>
      </c>
      <c r="K89" s="34">
        <f t="shared" si="15"/>
        <v>5708</v>
      </c>
      <c r="L89" s="331">
        <f>SUM(L84:L88)</f>
        <v>4878</v>
      </c>
      <c r="M89" s="331">
        <f>SUM(M84:M88)</f>
        <v>0</v>
      </c>
      <c r="N89" s="331">
        <f>SUM(N84:N88)</f>
        <v>0</v>
      </c>
      <c r="O89" s="331">
        <f>SUM(O84:O88)</f>
        <v>830</v>
      </c>
      <c r="P89" s="34">
        <f t="shared" si="16"/>
        <v>5564</v>
      </c>
      <c r="Q89" s="331">
        <f>SUM(Q84:Q88)</f>
        <v>4634</v>
      </c>
      <c r="R89" s="331">
        <f>SUM(R84:R88)</f>
        <v>0</v>
      </c>
      <c r="S89" s="331">
        <f>SUM(S84:S88)</f>
        <v>0</v>
      </c>
      <c r="T89" s="331">
        <f>SUM(T84:T88)</f>
        <v>930</v>
      </c>
      <c r="U89" s="34">
        <f t="shared" si="17"/>
        <v>-144</v>
      </c>
      <c r="V89" s="331">
        <f>SUM(V84:V88)</f>
        <v>-244</v>
      </c>
      <c r="W89" s="331">
        <f>SUM(W84:W88)</f>
        <v>0</v>
      </c>
      <c r="X89" s="331">
        <f>SUM(X84:X88)</f>
        <v>0</v>
      </c>
      <c r="Y89" s="330">
        <f>SUM(Y84:Y88)</f>
        <v>100</v>
      </c>
      <c r="Z89" s="576">
        <f t="shared" si="18"/>
        <v>97.477224947442181</v>
      </c>
      <c r="AA89" s="565">
        <f t="shared" si="19"/>
        <v>94.997949979499793</v>
      </c>
      <c r="AB89" s="565" t="str">
        <f t="shared" si="20"/>
        <v xml:space="preserve"> </v>
      </c>
      <c r="AC89" s="565" t="str">
        <f t="shared" si="21"/>
        <v xml:space="preserve"> </v>
      </c>
      <c r="AD89" s="567">
        <f t="shared" si="22"/>
        <v>112.04819277108433</v>
      </c>
    </row>
    <row r="90" spans="2:30" ht="15" thickBot="1" x14ac:dyDescent="0.25">
      <c r="B90" s="339" t="s">
        <v>342</v>
      </c>
      <c r="C90" s="338" t="s">
        <v>502</v>
      </c>
      <c r="D90" s="394" t="s">
        <v>335</v>
      </c>
      <c r="E90" s="35" t="s">
        <v>445</v>
      </c>
      <c r="F90" s="30">
        <f t="shared" si="14"/>
        <v>146</v>
      </c>
      <c r="G90" s="27">
        <v>0</v>
      </c>
      <c r="H90" s="27">
        <v>0</v>
      </c>
      <c r="I90" s="27">
        <v>0</v>
      </c>
      <c r="J90" s="27">
        <v>146</v>
      </c>
      <c r="K90" s="30">
        <f t="shared" si="15"/>
        <v>146</v>
      </c>
      <c r="L90" s="27">
        <v>0</v>
      </c>
      <c r="M90" s="27">
        <v>0</v>
      </c>
      <c r="N90" s="27">
        <v>0</v>
      </c>
      <c r="O90" s="27">
        <v>146</v>
      </c>
      <c r="P90" s="30">
        <f t="shared" si="16"/>
        <v>146</v>
      </c>
      <c r="Q90" s="27">
        <v>0</v>
      </c>
      <c r="R90" s="27">
        <v>0</v>
      </c>
      <c r="S90" s="27">
        <v>0</v>
      </c>
      <c r="T90" s="27">
        <v>146</v>
      </c>
      <c r="U90" s="30">
        <f t="shared" si="17"/>
        <v>0</v>
      </c>
      <c r="V90" s="27">
        <v>0</v>
      </c>
      <c r="W90" s="27">
        <v>0</v>
      </c>
      <c r="X90" s="27">
        <v>0</v>
      </c>
      <c r="Y90" s="31">
        <v>0</v>
      </c>
      <c r="Z90" s="560">
        <f t="shared" si="18"/>
        <v>100</v>
      </c>
      <c r="AA90" s="561" t="str">
        <f t="shared" si="19"/>
        <v xml:space="preserve"> </v>
      </c>
      <c r="AB90" s="561" t="str">
        <f t="shared" si="20"/>
        <v xml:space="preserve"> </v>
      </c>
      <c r="AC90" s="561" t="str">
        <f t="shared" si="21"/>
        <v xml:space="preserve"> </v>
      </c>
      <c r="AD90" s="562">
        <f t="shared" si="22"/>
        <v>100</v>
      </c>
    </row>
    <row r="91" spans="2:30" ht="15.75" thickBot="1" x14ac:dyDescent="0.25">
      <c r="B91" s="336" t="s">
        <v>342</v>
      </c>
      <c r="C91" s="335"/>
      <c r="D91" s="393" t="s">
        <v>335</v>
      </c>
      <c r="E91" s="333" t="s">
        <v>445</v>
      </c>
      <c r="F91" s="34">
        <f t="shared" si="14"/>
        <v>146</v>
      </c>
      <c r="G91" s="331">
        <f>G90</f>
        <v>0</v>
      </c>
      <c r="H91" s="331">
        <f>H90</f>
        <v>0</v>
      </c>
      <c r="I91" s="331">
        <f>I90</f>
        <v>0</v>
      </c>
      <c r="J91" s="331">
        <f>J90</f>
        <v>146</v>
      </c>
      <c r="K91" s="34">
        <f t="shared" si="15"/>
        <v>146</v>
      </c>
      <c r="L91" s="331">
        <f>L90</f>
        <v>0</v>
      </c>
      <c r="M91" s="331">
        <f>M90</f>
        <v>0</v>
      </c>
      <c r="N91" s="331">
        <f>N90</f>
        <v>0</v>
      </c>
      <c r="O91" s="331">
        <f>O90</f>
        <v>146</v>
      </c>
      <c r="P91" s="34">
        <f t="shared" si="16"/>
        <v>146</v>
      </c>
      <c r="Q91" s="331">
        <f>Q90</f>
        <v>0</v>
      </c>
      <c r="R91" s="331">
        <f>R90</f>
        <v>0</v>
      </c>
      <c r="S91" s="331">
        <f>S90</f>
        <v>0</v>
      </c>
      <c r="T91" s="331">
        <f>T90</f>
        <v>146</v>
      </c>
      <c r="U91" s="34">
        <f t="shared" si="17"/>
        <v>0</v>
      </c>
      <c r="V91" s="331">
        <f>V90</f>
        <v>0</v>
      </c>
      <c r="W91" s="331">
        <f>W90</f>
        <v>0</v>
      </c>
      <c r="X91" s="331">
        <f>X90</f>
        <v>0</v>
      </c>
      <c r="Y91" s="330">
        <f>Y90</f>
        <v>0</v>
      </c>
      <c r="Z91" s="576">
        <f t="shared" si="18"/>
        <v>100</v>
      </c>
      <c r="AA91" s="565" t="str">
        <f t="shared" si="19"/>
        <v xml:space="preserve"> </v>
      </c>
      <c r="AB91" s="565" t="str">
        <f t="shared" si="20"/>
        <v xml:space="preserve"> </v>
      </c>
      <c r="AC91" s="565" t="str">
        <f t="shared" si="21"/>
        <v xml:space="preserve"> </v>
      </c>
      <c r="AD91" s="567">
        <f t="shared" si="22"/>
        <v>100</v>
      </c>
    </row>
    <row r="92" spans="2:30" ht="15" thickBot="1" x14ac:dyDescent="0.25">
      <c r="B92" s="339" t="s">
        <v>341</v>
      </c>
      <c r="C92" s="338" t="s">
        <v>502</v>
      </c>
      <c r="D92" s="394" t="s">
        <v>335</v>
      </c>
      <c r="E92" s="35" t="s">
        <v>340</v>
      </c>
      <c r="F92" s="30">
        <f t="shared" si="14"/>
        <v>156</v>
      </c>
      <c r="G92" s="27">
        <v>126</v>
      </c>
      <c r="H92" s="27">
        <v>0</v>
      </c>
      <c r="I92" s="27">
        <v>0</v>
      </c>
      <c r="J92" s="27">
        <v>30</v>
      </c>
      <c r="K92" s="30">
        <f t="shared" si="15"/>
        <v>156</v>
      </c>
      <c r="L92" s="27">
        <v>126</v>
      </c>
      <c r="M92" s="27">
        <v>0</v>
      </c>
      <c r="N92" s="27">
        <v>0</v>
      </c>
      <c r="O92" s="27">
        <v>30</v>
      </c>
      <c r="P92" s="30">
        <f t="shared" si="16"/>
        <v>151</v>
      </c>
      <c r="Q92" s="27">
        <v>120</v>
      </c>
      <c r="R92" s="27">
        <v>0</v>
      </c>
      <c r="S92" s="27">
        <v>0</v>
      </c>
      <c r="T92" s="27">
        <v>31</v>
      </c>
      <c r="U92" s="30">
        <f t="shared" si="17"/>
        <v>-5</v>
      </c>
      <c r="V92" s="27">
        <v>-6</v>
      </c>
      <c r="W92" s="27">
        <v>0</v>
      </c>
      <c r="X92" s="27">
        <v>0</v>
      </c>
      <c r="Y92" s="31">
        <v>1</v>
      </c>
      <c r="Z92" s="560">
        <f t="shared" si="18"/>
        <v>96.794871794871796</v>
      </c>
      <c r="AA92" s="561">
        <f t="shared" si="19"/>
        <v>95.238095238095227</v>
      </c>
      <c r="AB92" s="561" t="str">
        <f t="shared" si="20"/>
        <v xml:space="preserve"> </v>
      </c>
      <c r="AC92" s="561" t="str">
        <f t="shared" si="21"/>
        <v xml:space="preserve"> </v>
      </c>
      <c r="AD92" s="562">
        <f t="shared" si="22"/>
        <v>103.33333333333334</v>
      </c>
    </row>
    <row r="93" spans="2:30" ht="15.75" thickBot="1" x14ac:dyDescent="0.25">
      <c r="B93" s="336" t="s">
        <v>341</v>
      </c>
      <c r="C93" s="335"/>
      <c r="D93" s="393" t="s">
        <v>335</v>
      </c>
      <c r="E93" s="333" t="s">
        <v>340</v>
      </c>
      <c r="F93" s="34">
        <f t="shared" si="14"/>
        <v>156</v>
      </c>
      <c r="G93" s="331">
        <f>G92</f>
        <v>126</v>
      </c>
      <c r="H93" s="331">
        <f>H92</f>
        <v>0</v>
      </c>
      <c r="I93" s="331">
        <f>I92</f>
        <v>0</v>
      </c>
      <c r="J93" s="331">
        <f>J92</f>
        <v>30</v>
      </c>
      <c r="K93" s="34">
        <f t="shared" si="15"/>
        <v>156</v>
      </c>
      <c r="L93" s="331">
        <f>L92</f>
        <v>126</v>
      </c>
      <c r="M93" s="331">
        <f>M92</f>
        <v>0</v>
      </c>
      <c r="N93" s="331">
        <f>N92</f>
        <v>0</v>
      </c>
      <c r="O93" s="331">
        <f>O92</f>
        <v>30</v>
      </c>
      <c r="P93" s="34">
        <f t="shared" si="16"/>
        <v>151</v>
      </c>
      <c r="Q93" s="331">
        <f>Q92</f>
        <v>120</v>
      </c>
      <c r="R93" s="331">
        <f>R92</f>
        <v>0</v>
      </c>
      <c r="S93" s="331">
        <f>S92</f>
        <v>0</v>
      </c>
      <c r="T93" s="331">
        <f>T92</f>
        <v>31</v>
      </c>
      <c r="U93" s="34">
        <f t="shared" si="17"/>
        <v>-5</v>
      </c>
      <c r="V93" s="331">
        <f>V92</f>
        <v>-6</v>
      </c>
      <c r="W93" s="331">
        <f>W92</f>
        <v>0</v>
      </c>
      <c r="X93" s="331">
        <f>X92</f>
        <v>0</v>
      </c>
      <c r="Y93" s="330">
        <f>Y92</f>
        <v>1</v>
      </c>
      <c r="Z93" s="576">
        <f t="shared" si="18"/>
        <v>96.794871794871796</v>
      </c>
      <c r="AA93" s="565">
        <f t="shared" si="19"/>
        <v>95.238095238095227</v>
      </c>
      <c r="AB93" s="565" t="str">
        <f t="shared" si="20"/>
        <v xml:space="preserve"> </v>
      </c>
      <c r="AC93" s="565" t="str">
        <f t="shared" si="21"/>
        <v xml:space="preserve"> </v>
      </c>
      <c r="AD93" s="567">
        <f t="shared" si="22"/>
        <v>103.33333333333334</v>
      </c>
    </row>
    <row r="94" spans="2:30" ht="15" thickBot="1" x14ac:dyDescent="0.25">
      <c r="B94" s="339" t="s">
        <v>339</v>
      </c>
      <c r="C94" s="338" t="s">
        <v>502</v>
      </c>
      <c r="D94" s="394" t="s">
        <v>335</v>
      </c>
      <c r="E94" s="35" t="s">
        <v>338</v>
      </c>
      <c r="F94" s="30">
        <f t="shared" si="14"/>
        <v>197</v>
      </c>
      <c r="G94" s="27">
        <v>148</v>
      </c>
      <c r="H94" s="27">
        <v>0</v>
      </c>
      <c r="I94" s="27">
        <v>0</v>
      </c>
      <c r="J94" s="27">
        <v>49</v>
      </c>
      <c r="K94" s="30">
        <f t="shared" si="15"/>
        <v>197</v>
      </c>
      <c r="L94" s="27">
        <v>148</v>
      </c>
      <c r="M94" s="27">
        <v>0</v>
      </c>
      <c r="N94" s="27">
        <v>0</v>
      </c>
      <c r="O94" s="27">
        <v>49</v>
      </c>
      <c r="P94" s="30">
        <f t="shared" si="16"/>
        <v>190</v>
      </c>
      <c r="Q94" s="27">
        <v>141</v>
      </c>
      <c r="R94" s="27">
        <v>0</v>
      </c>
      <c r="S94" s="27">
        <v>0</v>
      </c>
      <c r="T94" s="27">
        <v>49</v>
      </c>
      <c r="U94" s="30">
        <f t="shared" si="17"/>
        <v>-7</v>
      </c>
      <c r="V94" s="27">
        <v>-7</v>
      </c>
      <c r="W94" s="27">
        <v>0</v>
      </c>
      <c r="X94" s="27">
        <v>0</v>
      </c>
      <c r="Y94" s="31">
        <v>0</v>
      </c>
      <c r="Z94" s="560">
        <f t="shared" si="18"/>
        <v>96.44670050761421</v>
      </c>
      <c r="AA94" s="561">
        <f t="shared" si="19"/>
        <v>95.270270270270274</v>
      </c>
      <c r="AB94" s="561" t="str">
        <f t="shared" si="20"/>
        <v xml:space="preserve"> </v>
      </c>
      <c r="AC94" s="561" t="str">
        <f t="shared" si="21"/>
        <v xml:space="preserve"> </v>
      </c>
      <c r="AD94" s="562">
        <f t="shared" si="22"/>
        <v>100</v>
      </c>
    </row>
    <row r="95" spans="2:30" ht="15.75" thickBot="1" x14ac:dyDescent="0.25">
      <c r="B95" s="336" t="s">
        <v>339</v>
      </c>
      <c r="C95" s="335"/>
      <c r="D95" s="393" t="s">
        <v>335</v>
      </c>
      <c r="E95" s="333" t="s">
        <v>338</v>
      </c>
      <c r="F95" s="34">
        <f t="shared" si="14"/>
        <v>197</v>
      </c>
      <c r="G95" s="331">
        <f>G94</f>
        <v>148</v>
      </c>
      <c r="H95" s="331">
        <f>H94</f>
        <v>0</v>
      </c>
      <c r="I95" s="331">
        <f>I94</f>
        <v>0</v>
      </c>
      <c r="J95" s="331">
        <f>J94</f>
        <v>49</v>
      </c>
      <c r="K95" s="34">
        <f t="shared" si="15"/>
        <v>197</v>
      </c>
      <c r="L95" s="331">
        <f>L94</f>
        <v>148</v>
      </c>
      <c r="M95" s="331">
        <f>M94</f>
        <v>0</v>
      </c>
      <c r="N95" s="331">
        <f>N94</f>
        <v>0</v>
      </c>
      <c r="O95" s="331">
        <f>O94</f>
        <v>49</v>
      </c>
      <c r="P95" s="34">
        <f t="shared" si="16"/>
        <v>190</v>
      </c>
      <c r="Q95" s="331">
        <f>Q94</f>
        <v>141</v>
      </c>
      <c r="R95" s="331">
        <f>R94</f>
        <v>0</v>
      </c>
      <c r="S95" s="331">
        <f>S94</f>
        <v>0</v>
      </c>
      <c r="T95" s="331">
        <f>T94</f>
        <v>49</v>
      </c>
      <c r="U95" s="34">
        <f t="shared" si="17"/>
        <v>-7</v>
      </c>
      <c r="V95" s="331">
        <f>V94</f>
        <v>-7</v>
      </c>
      <c r="W95" s="331">
        <f>W94</f>
        <v>0</v>
      </c>
      <c r="X95" s="331">
        <f>X94</f>
        <v>0</v>
      </c>
      <c r="Y95" s="330">
        <f>Y94</f>
        <v>0</v>
      </c>
      <c r="Z95" s="576">
        <f t="shared" si="18"/>
        <v>96.44670050761421</v>
      </c>
      <c r="AA95" s="565">
        <f t="shared" si="19"/>
        <v>95.270270270270274</v>
      </c>
      <c r="AB95" s="565" t="str">
        <f t="shared" si="20"/>
        <v xml:space="preserve"> </v>
      </c>
      <c r="AC95" s="565" t="str">
        <f t="shared" si="21"/>
        <v xml:space="preserve"> </v>
      </c>
      <c r="AD95" s="567">
        <f t="shared" si="22"/>
        <v>100</v>
      </c>
    </row>
    <row r="96" spans="2:30" ht="15" thickBot="1" x14ac:dyDescent="0.25">
      <c r="B96" s="339" t="s">
        <v>337</v>
      </c>
      <c r="C96" s="338" t="s">
        <v>501</v>
      </c>
      <c r="D96" s="394" t="s">
        <v>335</v>
      </c>
      <c r="E96" s="35" t="s">
        <v>336</v>
      </c>
      <c r="F96" s="30">
        <f t="shared" si="14"/>
        <v>521</v>
      </c>
      <c r="G96" s="27">
        <v>516</v>
      </c>
      <c r="H96" s="27">
        <v>0</v>
      </c>
      <c r="I96" s="27">
        <v>0</v>
      </c>
      <c r="J96" s="27">
        <v>5</v>
      </c>
      <c r="K96" s="30">
        <f t="shared" si="15"/>
        <v>521</v>
      </c>
      <c r="L96" s="27">
        <v>516</v>
      </c>
      <c r="M96" s="27">
        <v>0</v>
      </c>
      <c r="N96" s="27">
        <v>0</v>
      </c>
      <c r="O96" s="27">
        <v>5</v>
      </c>
      <c r="P96" s="30">
        <f t="shared" si="16"/>
        <v>495</v>
      </c>
      <c r="Q96" s="27">
        <v>490</v>
      </c>
      <c r="R96" s="27">
        <v>0</v>
      </c>
      <c r="S96" s="27">
        <v>0</v>
      </c>
      <c r="T96" s="27">
        <v>5</v>
      </c>
      <c r="U96" s="30">
        <f t="shared" si="17"/>
        <v>-26</v>
      </c>
      <c r="V96" s="27">
        <v>-26</v>
      </c>
      <c r="W96" s="27">
        <v>0</v>
      </c>
      <c r="X96" s="27">
        <v>0</v>
      </c>
      <c r="Y96" s="31">
        <v>0</v>
      </c>
      <c r="Z96" s="560">
        <f t="shared" si="18"/>
        <v>95.009596928982717</v>
      </c>
      <c r="AA96" s="561">
        <f t="shared" si="19"/>
        <v>94.961240310077528</v>
      </c>
      <c r="AB96" s="561" t="str">
        <f t="shared" si="20"/>
        <v xml:space="preserve"> </v>
      </c>
      <c r="AC96" s="561" t="str">
        <f t="shared" si="21"/>
        <v xml:space="preserve"> </v>
      </c>
      <c r="AD96" s="562">
        <f t="shared" si="22"/>
        <v>100</v>
      </c>
    </row>
    <row r="97" spans="2:30" ht="15.75" thickBot="1" x14ac:dyDescent="0.25">
      <c r="B97" s="336" t="s">
        <v>337</v>
      </c>
      <c r="C97" s="335"/>
      <c r="D97" s="393" t="s">
        <v>335</v>
      </c>
      <c r="E97" s="333" t="s">
        <v>336</v>
      </c>
      <c r="F97" s="34">
        <f t="shared" si="14"/>
        <v>521</v>
      </c>
      <c r="G97" s="331">
        <f>G96</f>
        <v>516</v>
      </c>
      <c r="H97" s="331">
        <f>H96</f>
        <v>0</v>
      </c>
      <c r="I97" s="331">
        <f>I96</f>
        <v>0</v>
      </c>
      <c r="J97" s="331">
        <f>J96</f>
        <v>5</v>
      </c>
      <c r="K97" s="34">
        <f t="shared" si="15"/>
        <v>521</v>
      </c>
      <c r="L97" s="331">
        <f>L96</f>
        <v>516</v>
      </c>
      <c r="M97" s="331">
        <f>M96</f>
        <v>0</v>
      </c>
      <c r="N97" s="331">
        <f>N96</f>
        <v>0</v>
      </c>
      <c r="O97" s="331">
        <f>O96</f>
        <v>5</v>
      </c>
      <c r="P97" s="34">
        <f t="shared" si="16"/>
        <v>495</v>
      </c>
      <c r="Q97" s="331">
        <f>Q96</f>
        <v>490</v>
      </c>
      <c r="R97" s="331">
        <f>R96</f>
        <v>0</v>
      </c>
      <c r="S97" s="331">
        <f>S96</f>
        <v>0</v>
      </c>
      <c r="T97" s="331">
        <f>T96</f>
        <v>5</v>
      </c>
      <c r="U97" s="34">
        <f t="shared" si="17"/>
        <v>-26</v>
      </c>
      <c r="V97" s="331">
        <f>V96</f>
        <v>-26</v>
      </c>
      <c r="W97" s="331">
        <f>W96</f>
        <v>0</v>
      </c>
      <c r="X97" s="331">
        <f>X96</f>
        <v>0</v>
      </c>
      <c r="Y97" s="330">
        <f>Y96</f>
        <v>0</v>
      </c>
      <c r="Z97" s="576">
        <f t="shared" si="18"/>
        <v>95.009596928982717</v>
      </c>
      <c r="AA97" s="565">
        <f t="shared" si="19"/>
        <v>94.961240310077528</v>
      </c>
      <c r="AB97" s="565" t="str">
        <f t="shared" si="20"/>
        <v xml:space="preserve"> </v>
      </c>
      <c r="AC97" s="565" t="str">
        <f t="shared" si="21"/>
        <v xml:space="preserve"> </v>
      </c>
      <c r="AD97" s="567">
        <f t="shared" si="22"/>
        <v>100</v>
      </c>
    </row>
    <row r="98" spans="2:30" ht="15.75" thickBot="1" x14ac:dyDescent="0.25">
      <c r="B98" s="716" t="s">
        <v>623</v>
      </c>
      <c r="C98" s="717"/>
      <c r="D98" s="32"/>
      <c r="E98" s="392" t="s">
        <v>334</v>
      </c>
      <c r="F98" s="34">
        <f t="shared" ref="F98:Y98" si="23">F97+F95+F93+F91+F89+F83+F81+F77+F73+F69+F67+F63+F61+F57+F55+F49+F44+F41+F38+F32+F25+F19+F16</f>
        <v>82900</v>
      </c>
      <c r="G98" s="70">
        <f t="shared" si="23"/>
        <v>67003</v>
      </c>
      <c r="H98" s="70">
        <f t="shared" si="23"/>
        <v>0</v>
      </c>
      <c r="I98" s="70">
        <f t="shared" si="23"/>
        <v>0</v>
      </c>
      <c r="J98" s="70">
        <f t="shared" si="23"/>
        <v>15897</v>
      </c>
      <c r="K98" s="34">
        <f t="shared" si="23"/>
        <v>83102</v>
      </c>
      <c r="L98" s="70">
        <f t="shared" si="23"/>
        <v>67003</v>
      </c>
      <c r="M98" s="70">
        <f t="shared" si="23"/>
        <v>202</v>
      </c>
      <c r="N98" s="70">
        <f t="shared" si="23"/>
        <v>0</v>
      </c>
      <c r="O98" s="70">
        <f t="shared" si="23"/>
        <v>15897</v>
      </c>
      <c r="P98" s="34">
        <f t="shared" si="23"/>
        <v>79674</v>
      </c>
      <c r="Q98" s="70">
        <f t="shared" si="23"/>
        <v>63719</v>
      </c>
      <c r="R98" s="70">
        <f t="shared" si="23"/>
        <v>0</v>
      </c>
      <c r="S98" s="70">
        <f t="shared" si="23"/>
        <v>0</v>
      </c>
      <c r="T98" s="70">
        <f t="shared" si="23"/>
        <v>15955</v>
      </c>
      <c r="U98" s="34">
        <f t="shared" si="23"/>
        <v>-3226</v>
      </c>
      <c r="V98" s="70">
        <f t="shared" si="23"/>
        <v>-3284</v>
      </c>
      <c r="W98" s="70">
        <f t="shared" si="23"/>
        <v>0</v>
      </c>
      <c r="X98" s="70">
        <f t="shared" si="23"/>
        <v>0</v>
      </c>
      <c r="Y98" s="69">
        <f t="shared" si="23"/>
        <v>58</v>
      </c>
      <c r="Z98" s="576">
        <f t="shared" si="18"/>
        <v>96.108564535585046</v>
      </c>
      <c r="AA98" s="565">
        <f t="shared" si="19"/>
        <v>95.098726922675098</v>
      </c>
      <c r="AB98" s="565" t="str">
        <f t="shared" si="20"/>
        <v xml:space="preserve"> </v>
      </c>
      <c r="AC98" s="565" t="str">
        <f t="shared" si="21"/>
        <v xml:space="preserve"> </v>
      </c>
      <c r="AD98" s="567">
        <f t="shared" si="22"/>
        <v>100.36484871359377</v>
      </c>
    </row>
  </sheetData>
  <mergeCells count="12">
    <mergeCell ref="Z9:AD9"/>
    <mergeCell ref="AA13:AD13"/>
    <mergeCell ref="B98:C98"/>
    <mergeCell ref="F9:J9"/>
    <mergeCell ref="K9:O9"/>
    <mergeCell ref="P9:T9"/>
    <mergeCell ref="U9:Y9"/>
    <mergeCell ref="B10:C10"/>
    <mergeCell ref="G13:J13"/>
    <mergeCell ref="L13:O13"/>
    <mergeCell ref="Q13:T13"/>
    <mergeCell ref="V13:Y13"/>
  </mergeCells>
  <pageMargins left="0.70866141732283472" right="0.70866141732283472" top="0.78740157480314965" bottom="0.78740157480314965" header="0.31496062992125984" footer="0.31496062992125984"/>
  <pageSetup paperSize="9" scale="4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D101"/>
  <sheetViews>
    <sheetView showGridLines="0" zoomScaleNormal="100" workbookViewId="0">
      <selection activeCell="AB26" sqref="AB26"/>
    </sheetView>
  </sheetViews>
  <sheetFormatPr defaultRowHeight="12.75" x14ac:dyDescent="0.2"/>
  <cols>
    <col min="1" max="1" width="2.7109375" customWidth="1"/>
    <col min="2" max="2" width="14.7109375" customWidth="1"/>
    <col min="3" max="3" width="6.7109375" customWidth="1"/>
    <col min="4" max="4" width="10.7109375" hidden="1" customWidth="1"/>
    <col min="5" max="5" width="45.7109375" customWidth="1"/>
    <col min="6" max="6" width="12.7109375" style="1" customWidth="1"/>
    <col min="7" max="10" width="9.7109375" style="1"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30" width="9.7109375" style="1" customWidth="1"/>
  </cols>
  <sheetData>
    <row r="2" spans="2:30" ht="21.75" x14ac:dyDescent="0.3">
      <c r="B2" s="2" t="s">
        <v>177</v>
      </c>
      <c r="C2" s="3"/>
      <c r="D2" s="3"/>
      <c r="E2" s="3"/>
      <c r="F2" s="4"/>
      <c r="G2" s="4"/>
      <c r="H2" s="4"/>
      <c r="I2" s="4"/>
      <c r="J2" s="4"/>
      <c r="K2" s="5"/>
      <c r="L2" s="5"/>
      <c r="M2" s="5"/>
      <c r="N2" s="5"/>
      <c r="O2" s="5"/>
      <c r="P2" s="5"/>
      <c r="Q2" s="5"/>
      <c r="R2" s="5"/>
      <c r="S2" s="5"/>
      <c r="T2" s="5"/>
      <c r="U2" s="5"/>
      <c r="V2" s="5"/>
      <c r="W2" s="6" t="s">
        <v>431</v>
      </c>
      <c r="X2" s="5"/>
      <c r="Y2" s="5" t="s">
        <v>211</v>
      </c>
      <c r="Z2" s="5"/>
      <c r="AA2" s="5"/>
      <c r="AB2" s="6" t="s">
        <v>431</v>
      </c>
      <c r="AC2" s="5"/>
      <c r="AD2" s="5" t="s">
        <v>211</v>
      </c>
    </row>
    <row r="3" spans="2:30" ht="15.75" x14ac:dyDescent="0.25">
      <c r="B3" s="7" t="s">
        <v>2</v>
      </c>
      <c r="C3" s="7" t="s">
        <v>283</v>
      </c>
      <c r="D3" s="8"/>
      <c r="E3" s="9"/>
      <c r="F3" s="10"/>
      <c r="G3" s="10"/>
      <c r="H3" s="10"/>
      <c r="I3" s="10"/>
      <c r="J3" s="10"/>
      <c r="K3" s="11"/>
      <c r="L3" s="11"/>
      <c r="M3" s="11"/>
      <c r="N3" s="11"/>
      <c r="O3" s="11"/>
      <c r="P3" s="11"/>
      <c r="Q3" s="11"/>
      <c r="R3" s="11"/>
      <c r="S3" s="11"/>
      <c r="T3" s="11"/>
      <c r="U3" s="11"/>
      <c r="V3" s="11"/>
      <c r="W3" s="11"/>
      <c r="X3" s="11"/>
      <c r="Y3" s="11"/>
      <c r="Z3" s="11"/>
      <c r="AA3" s="11"/>
      <c r="AB3" s="11"/>
      <c r="AC3" s="11"/>
      <c r="AD3" s="11"/>
    </row>
    <row r="4" spans="2:30" ht="15.75" x14ac:dyDescent="0.25">
      <c r="B4" s="8"/>
      <c r="C4" s="7" t="s">
        <v>4</v>
      </c>
      <c r="D4" s="8"/>
      <c r="E4" s="9"/>
      <c r="F4" s="10"/>
      <c r="G4" s="10"/>
      <c r="H4" s="10"/>
      <c r="I4" s="10"/>
      <c r="J4" s="10"/>
      <c r="K4" s="11"/>
      <c r="L4" s="11"/>
      <c r="M4" s="11"/>
      <c r="N4" s="11"/>
      <c r="O4" s="11"/>
      <c r="P4" s="11"/>
      <c r="Q4" s="11"/>
      <c r="R4" s="11"/>
      <c r="S4" s="11"/>
      <c r="T4" s="11"/>
      <c r="U4" s="11"/>
      <c r="V4" s="11"/>
      <c r="W4" s="11"/>
      <c r="X4" s="11"/>
      <c r="Y4" s="11"/>
      <c r="Z4" s="11"/>
      <c r="AA4" s="11"/>
      <c r="AB4" s="11"/>
      <c r="AC4" s="11"/>
      <c r="AD4" s="11"/>
    </row>
    <row r="6" spans="2:30" ht="18" x14ac:dyDescent="0.25">
      <c r="B6" s="396" t="s">
        <v>430</v>
      </c>
      <c r="C6" s="12"/>
      <c r="D6" s="12"/>
      <c r="E6" s="12"/>
      <c r="F6" s="13"/>
      <c r="G6" s="13"/>
      <c r="H6" s="13"/>
      <c r="I6" s="13"/>
      <c r="J6" s="13"/>
      <c r="K6" s="13"/>
      <c r="L6" s="13"/>
      <c r="M6" s="13"/>
      <c r="N6" s="13"/>
      <c r="O6" s="13"/>
      <c r="P6" s="13"/>
      <c r="Q6" s="13"/>
      <c r="R6" s="13"/>
      <c r="S6" s="13"/>
      <c r="T6" s="13"/>
      <c r="U6" s="13"/>
      <c r="V6" s="13"/>
      <c r="W6" s="13"/>
      <c r="X6" s="13"/>
      <c r="Y6" s="13"/>
      <c r="Z6" s="13"/>
      <c r="AA6" s="13"/>
      <c r="AB6" s="13"/>
      <c r="AC6" s="13"/>
      <c r="AD6" s="13"/>
    </row>
    <row r="8" spans="2:30" ht="13.5" thickBot="1" x14ac:dyDescent="0.25">
      <c r="B8" s="201"/>
      <c r="C8" s="201"/>
      <c r="D8" s="201"/>
      <c r="E8" s="201"/>
      <c r="F8" s="200"/>
      <c r="G8" s="200"/>
      <c r="H8" s="200"/>
      <c r="I8" s="200"/>
      <c r="J8" s="200"/>
      <c r="K8" s="200"/>
      <c r="L8" s="200"/>
      <c r="M8" s="200"/>
      <c r="N8" s="200"/>
      <c r="O8" s="200"/>
      <c r="P8" s="200"/>
      <c r="Q8" s="200"/>
      <c r="R8" s="200"/>
      <c r="S8" s="200"/>
      <c r="T8" s="200"/>
      <c r="U8" s="200"/>
      <c r="V8" s="200"/>
      <c r="W8" s="200"/>
      <c r="X8" s="200"/>
      <c r="Y8" s="200" t="s">
        <v>5</v>
      </c>
      <c r="Z8" s="200"/>
      <c r="AA8" s="200"/>
      <c r="AB8" s="200"/>
      <c r="AC8" s="200"/>
      <c r="AD8" s="200" t="s">
        <v>5</v>
      </c>
    </row>
    <row r="9" spans="2:30" x14ac:dyDescent="0.2">
      <c r="B9" s="477"/>
      <c r="C9" s="483"/>
      <c r="D9" s="477"/>
      <c r="E9" s="477"/>
      <c r="F9" s="710" t="s">
        <v>548</v>
      </c>
      <c r="G9" s="711"/>
      <c r="H9" s="711"/>
      <c r="I9" s="711"/>
      <c r="J9" s="712"/>
      <c r="K9" s="710" t="s">
        <v>561</v>
      </c>
      <c r="L9" s="711"/>
      <c r="M9" s="711"/>
      <c r="N9" s="711"/>
      <c r="O9" s="712"/>
      <c r="P9" s="710" t="s">
        <v>558</v>
      </c>
      <c r="Q9" s="711"/>
      <c r="R9" s="711"/>
      <c r="S9" s="711"/>
      <c r="T9" s="712"/>
      <c r="U9" s="710" t="s">
        <v>6</v>
      </c>
      <c r="V9" s="711"/>
      <c r="W9" s="711"/>
      <c r="X9" s="711"/>
      <c r="Y9" s="712"/>
      <c r="Z9" s="710" t="s">
        <v>633</v>
      </c>
      <c r="AA9" s="711"/>
      <c r="AB9" s="711"/>
      <c r="AC9" s="711"/>
      <c r="AD9" s="712"/>
    </row>
    <row r="10" spans="2:30" ht="18" customHeight="1" x14ac:dyDescent="0.2">
      <c r="B10" s="718" t="s">
        <v>7</v>
      </c>
      <c r="C10" s="719"/>
      <c r="D10" s="484" t="s">
        <v>8</v>
      </c>
      <c r="E10" s="485" t="s">
        <v>9</v>
      </c>
      <c r="F10" s="486"/>
      <c r="G10" s="487" t="s">
        <v>10</v>
      </c>
      <c r="H10" s="486"/>
      <c r="I10" s="486"/>
      <c r="J10" s="486"/>
      <c r="K10" s="488"/>
      <c r="L10" s="487" t="s">
        <v>10</v>
      </c>
      <c r="M10" s="486"/>
      <c r="N10" s="486"/>
      <c r="O10" s="486"/>
      <c r="P10" s="488"/>
      <c r="Q10" s="487" t="s">
        <v>10</v>
      </c>
      <c r="R10" s="486"/>
      <c r="S10" s="486"/>
      <c r="T10" s="486"/>
      <c r="U10" s="488"/>
      <c r="V10" s="487" t="s">
        <v>10</v>
      </c>
      <c r="W10" s="489"/>
      <c r="X10" s="489"/>
      <c r="Y10" s="490"/>
      <c r="Z10" s="488"/>
      <c r="AA10" s="487" t="s">
        <v>10</v>
      </c>
      <c r="AB10" s="489"/>
      <c r="AC10" s="489"/>
      <c r="AD10" s="490"/>
    </row>
    <row r="11" spans="2:30" ht="48" customHeight="1" x14ac:dyDescent="0.2">
      <c r="B11" s="491"/>
      <c r="C11" s="492"/>
      <c r="D11" s="491"/>
      <c r="E11" s="491"/>
      <c r="F11" s="493" t="s">
        <v>11</v>
      </c>
      <c r="G11" s="494" t="s">
        <v>12</v>
      </c>
      <c r="H11" s="494" t="s">
        <v>13</v>
      </c>
      <c r="I11" s="494" t="s">
        <v>14</v>
      </c>
      <c r="J11" s="494" t="s">
        <v>15</v>
      </c>
      <c r="K11" s="493" t="s">
        <v>11</v>
      </c>
      <c r="L11" s="494" t="s">
        <v>12</v>
      </c>
      <c r="M11" s="494" t="s">
        <v>13</v>
      </c>
      <c r="N11" s="494" t="s">
        <v>14</v>
      </c>
      <c r="O11" s="494" t="s">
        <v>15</v>
      </c>
      <c r="P11" s="493" t="s">
        <v>11</v>
      </c>
      <c r="Q11" s="494" t="s">
        <v>12</v>
      </c>
      <c r="R11" s="494" t="s">
        <v>13</v>
      </c>
      <c r="S11" s="494" t="s">
        <v>14</v>
      </c>
      <c r="T11" s="494" t="s">
        <v>15</v>
      </c>
      <c r="U11" s="493" t="s">
        <v>11</v>
      </c>
      <c r="V11" s="494" t="s">
        <v>12</v>
      </c>
      <c r="W11" s="494" t="s">
        <v>13</v>
      </c>
      <c r="X11" s="494" t="s">
        <v>14</v>
      </c>
      <c r="Y11" s="495" t="s">
        <v>15</v>
      </c>
      <c r="Z11" s="493" t="s">
        <v>11</v>
      </c>
      <c r="AA11" s="494" t="s">
        <v>12</v>
      </c>
      <c r="AB11" s="494" t="s">
        <v>13</v>
      </c>
      <c r="AC11" s="494" t="s">
        <v>14</v>
      </c>
      <c r="AD11" s="495" t="s">
        <v>15</v>
      </c>
    </row>
    <row r="12" spans="2:30" ht="13.5" thickBot="1" x14ac:dyDescent="0.25">
      <c r="B12" s="496" t="s">
        <v>16</v>
      </c>
      <c r="C12" s="497" t="s">
        <v>17</v>
      </c>
      <c r="D12" s="479"/>
      <c r="E12" s="479"/>
      <c r="F12" s="480"/>
      <c r="G12" s="481" t="s">
        <v>18</v>
      </c>
      <c r="H12" s="481" t="s">
        <v>19</v>
      </c>
      <c r="I12" s="481" t="s">
        <v>20</v>
      </c>
      <c r="J12" s="481" t="s">
        <v>21</v>
      </c>
      <c r="K12" s="480"/>
      <c r="L12" s="481" t="s">
        <v>18</v>
      </c>
      <c r="M12" s="481" t="s">
        <v>19</v>
      </c>
      <c r="N12" s="481" t="s">
        <v>20</v>
      </c>
      <c r="O12" s="481" t="s">
        <v>21</v>
      </c>
      <c r="P12" s="480"/>
      <c r="Q12" s="481" t="s">
        <v>18</v>
      </c>
      <c r="R12" s="481" t="s">
        <v>19</v>
      </c>
      <c r="S12" s="481" t="s">
        <v>20</v>
      </c>
      <c r="T12" s="481" t="s">
        <v>21</v>
      </c>
      <c r="U12" s="480"/>
      <c r="V12" s="481" t="s">
        <v>18</v>
      </c>
      <c r="W12" s="481" t="s">
        <v>19</v>
      </c>
      <c r="X12" s="481" t="s">
        <v>20</v>
      </c>
      <c r="Y12" s="482" t="s">
        <v>21</v>
      </c>
      <c r="Z12" s="480"/>
      <c r="AA12" s="481" t="s">
        <v>18</v>
      </c>
      <c r="AB12" s="481" t="s">
        <v>19</v>
      </c>
      <c r="AC12" s="481" t="s">
        <v>20</v>
      </c>
      <c r="AD12" s="482" t="s">
        <v>21</v>
      </c>
    </row>
    <row r="13" spans="2:30" ht="13.5" thickBot="1" x14ac:dyDescent="0.25">
      <c r="B13" s="499"/>
      <c r="C13" s="500"/>
      <c r="D13" s="499"/>
      <c r="E13" s="499"/>
      <c r="F13" s="501" t="s">
        <v>22</v>
      </c>
      <c r="G13" s="713" t="s">
        <v>22</v>
      </c>
      <c r="H13" s="714"/>
      <c r="I13" s="714"/>
      <c r="J13" s="715"/>
      <c r="K13" s="501" t="s">
        <v>22</v>
      </c>
      <c r="L13" s="713" t="s">
        <v>22</v>
      </c>
      <c r="M13" s="714"/>
      <c r="N13" s="714"/>
      <c r="O13" s="715"/>
      <c r="P13" s="501" t="s">
        <v>22</v>
      </c>
      <c r="Q13" s="713" t="s">
        <v>22</v>
      </c>
      <c r="R13" s="714"/>
      <c r="S13" s="714"/>
      <c r="T13" s="715"/>
      <c r="U13" s="501" t="s">
        <v>22</v>
      </c>
      <c r="V13" s="713" t="s">
        <v>22</v>
      </c>
      <c r="W13" s="714"/>
      <c r="X13" s="714"/>
      <c r="Y13" s="715"/>
      <c r="Z13" s="501" t="s">
        <v>22</v>
      </c>
      <c r="AA13" s="713" t="s">
        <v>22</v>
      </c>
      <c r="AB13" s="714"/>
      <c r="AC13" s="714"/>
      <c r="AD13" s="715"/>
    </row>
    <row r="14" spans="2:30" ht="15" thickBot="1" x14ac:dyDescent="0.25">
      <c r="B14" s="339" t="s">
        <v>429</v>
      </c>
      <c r="C14" s="338" t="s">
        <v>516</v>
      </c>
      <c r="D14" s="394" t="s">
        <v>381</v>
      </c>
      <c r="E14" s="35" t="s">
        <v>428</v>
      </c>
      <c r="F14" s="30">
        <f t="shared" ref="F14:F45" si="0">SUM(G14:J14)</f>
        <v>655</v>
      </c>
      <c r="G14" s="27">
        <v>655</v>
      </c>
      <c r="H14" s="27">
        <v>0</v>
      </c>
      <c r="I14" s="27">
        <v>0</v>
      </c>
      <c r="J14" s="27">
        <v>0</v>
      </c>
      <c r="K14" s="30">
        <f t="shared" ref="K14:K45" si="1">SUM(L14:O14)</f>
        <v>655</v>
      </c>
      <c r="L14" s="27">
        <v>655</v>
      </c>
      <c r="M14" s="27">
        <v>0</v>
      </c>
      <c r="N14" s="27">
        <v>0</v>
      </c>
      <c r="O14" s="27">
        <v>0</v>
      </c>
      <c r="P14" s="30">
        <f t="shared" ref="P14:P45" si="2">SUM(Q14:T14)</f>
        <v>622</v>
      </c>
      <c r="Q14" s="27">
        <v>622</v>
      </c>
      <c r="R14" s="27">
        <v>0</v>
      </c>
      <c r="S14" s="27">
        <v>0</v>
      </c>
      <c r="T14" s="27">
        <v>0</v>
      </c>
      <c r="U14" s="30">
        <f t="shared" ref="U14:U45" si="3">SUM(V14:Y14)</f>
        <v>-33</v>
      </c>
      <c r="V14" s="27">
        <v>-33</v>
      </c>
      <c r="W14" s="27">
        <v>0</v>
      </c>
      <c r="X14" s="27">
        <v>0</v>
      </c>
      <c r="Y14" s="31">
        <v>0</v>
      </c>
      <c r="Z14" s="559">
        <f>IF(P14=0," ",IF(F14=0," ",P14/F14*100))</f>
        <v>94.961832061068705</v>
      </c>
      <c r="AA14" s="577">
        <f t="shared" ref="AA14:AD14" si="4">IF(Q14=0," ",IF(G14=0," ",Q14/G14*100))</f>
        <v>94.961832061068705</v>
      </c>
      <c r="AB14" s="577" t="str">
        <f t="shared" si="4"/>
        <v xml:space="preserve"> </v>
      </c>
      <c r="AC14" s="577" t="str">
        <f t="shared" si="4"/>
        <v xml:space="preserve"> </v>
      </c>
      <c r="AD14" s="562" t="str">
        <f t="shared" si="4"/>
        <v xml:space="preserve"> </v>
      </c>
    </row>
    <row r="15" spans="2:30" ht="15.75" thickBot="1" x14ac:dyDescent="0.25">
      <c r="B15" s="336" t="s">
        <v>429</v>
      </c>
      <c r="C15" s="335"/>
      <c r="D15" s="393" t="s">
        <v>381</v>
      </c>
      <c r="E15" s="333" t="s">
        <v>428</v>
      </c>
      <c r="F15" s="34">
        <f t="shared" si="0"/>
        <v>655</v>
      </c>
      <c r="G15" s="331">
        <f>G14</f>
        <v>655</v>
      </c>
      <c r="H15" s="331">
        <f>H14</f>
        <v>0</v>
      </c>
      <c r="I15" s="331">
        <f>I14</f>
        <v>0</v>
      </c>
      <c r="J15" s="331">
        <f>J14</f>
        <v>0</v>
      </c>
      <c r="K15" s="34">
        <f t="shared" si="1"/>
        <v>655</v>
      </c>
      <c r="L15" s="331">
        <f>L14</f>
        <v>655</v>
      </c>
      <c r="M15" s="331">
        <f>M14</f>
        <v>0</v>
      </c>
      <c r="N15" s="331">
        <f>N14</f>
        <v>0</v>
      </c>
      <c r="O15" s="331">
        <f>O14</f>
        <v>0</v>
      </c>
      <c r="P15" s="34">
        <f t="shared" si="2"/>
        <v>622</v>
      </c>
      <c r="Q15" s="331">
        <f>Q14</f>
        <v>622</v>
      </c>
      <c r="R15" s="331">
        <f>R14</f>
        <v>0</v>
      </c>
      <c r="S15" s="331">
        <f>S14</f>
        <v>0</v>
      </c>
      <c r="T15" s="331">
        <f>T14</f>
        <v>0</v>
      </c>
      <c r="U15" s="34">
        <f t="shared" si="3"/>
        <v>-33</v>
      </c>
      <c r="V15" s="331">
        <f>V14</f>
        <v>-33</v>
      </c>
      <c r="W15" s="331">
        <f>W14</f>
        <v>0</v>
      </c>
      <c r="X15" s="331">
        <f>X14</f>
        <v>0</v>
      </c>
      <c r="Y15" s="330">
        <v>0</v>
      </c>
      <c r="Z15" s="564">
        <f t="shared" ref="Z15:Z78" si="5">IF(P15=0," ",IF(F15=0," ",P15/F15*100))</f>
        <v>94.961832061068705</v>
      </c>
      <c r="AA15" s="578">
        <f t="shared" ref="AA15:AA78" si="6">IF(Q15=0," ",IF(G15=0," ",Q15/G15*100))</f>
        <v>94.961832061068705</v>
      </c>
      <c r="AB15" s="578" t="str">
        <f t="shared" ref="AB15:AB78" si="7">IF(R15=0," ",IF(H15=0," ",R15/H15*100))</f>
        <v xml:space="preserve"> </v>
      </c>
      <c r="AC15" s="578" t="str">
        <f t="shared" ref="AC15:AC78" si="8">IF(S15=0," ",IF(I15=0," ",S15/I15*100))</f>
        <v xml:space="preserve"> </v>
      </c>
      <c r="AD15" s="579" t="str">
        <f t="shared" ref="AD15:AD78" si="9">IF(T15=0," ",IF(J15=0," ",T15/J15*100))</f>
        <v xml:space="preserve"> </v>
      </c>
    </row>
    <row r="16" spans="2:30" ht="15" thickBot="1" x14ac:dyDescent="0.25">
      <c r="B16" s="339" t="s">
        <v>427</v>
      </c>
      <c r="C16" s="338" t="s">
        <v>521</v>
      </c>
      <c r="D16" s="394" t="s">
        <v>381</v>
      </c>
      <c r="E16" s="35" t="s">
        <v>547</v>
      </c>
      <c r="F16" s="30">
        <f t="shared" si="0"/>
        <v>43</v>
      </c>
      <c r="G16" s="27">
        <v>43</v>
      </c>
      <c r="H16" s="27">
        <v>0</v>
      </c>
      <c r="I16" s="27">
        <v>0</v>
      </c>
      <c r="J16" s="27">
        <v>0</v>
      </c>
      <c r="K16" s="30">
        <f t="shared" si="1"/>
        <v>43</v>
      </c>
      <c r="L16" s="27">
        <v>43</v>
      </c>
      <c r="M16" s="27">
        <v>0</v>
      </c>
      <c r="N16" s="27">
        <v>0</v>
      </c>
      <c r="O16" s="27">
        <v>0</v>
      </c>
      <c r="P16" s="30">
        <f t="shared" si="2"/>
        <v>45</v>
      </c>
      <c r="Q16" s="27">
        <v>45</v>
      </c>
      <c r="R16" s="27">
        <v>0</v>
      </c>
      <c r="S16" s="27">
        <v>0</v>
      </c>
      <c r="T16" s="27">
        <v>0</v>
      </c>
      <c r="U16" s="30">
        <f t="shared" si="3"/>
        <v>2</v>
      </c>
      <c r="V16" s="27">
        <v>2</v>
      </c>
      <c r="W16" s="27">
        <v>0</v>
      </c>
      <c r="X16" s="27">
        <v>0</v>
      </c>
      <c r="Y16" s="31">
        <v>0</v>
      </c>
      <c r="Z16" s="559">
        <f t="shared" si="5"/>
        <v>104.65116279069768</v>
      </c>
      <c r="AA16" s="577">
        <f t="shared" si="6"/>
        <v>104.65116279069768</v>
      </c>
      <c r="AB16" s="577" t="str">
        <f t="shared" si="7"/>
        <v xml:space="preserve"> </v>
      </c>
      <c r="AC16" s="577" t="str">
        <f t="shared" si="8"/>
        <v xml:space="preserve"> </v>
      </c>
      <c r="AD16" s="562" t="str">
        <f t="shared" si="9"/>
        <v xml:space="preserve"> </v>
      </c>
    </row>
    <row r="17" spans="2:30" ht="15" thickBot="1" x14ac:dyDescent="0.25">
      <c r="B17" s="339" t="s">
        <v>427</v>
      </c>
      <c r="C17" s="338" t="s">
        <v>516</v>
      </c>
      <c r="D17" s="394" t="s">
        <v>381</v>
      </c>
      <c r="E17" s="35" t="s">
        <v>547</v>
      </c>
      <c r="F17" s="30">
        <f t="shared" si="0"/>
        <v>2622</v>
      </c>
      <c r="G17" s="27">
        <v>2230</v>
      </c>
      <c r="H17" s="27">
        <v>0</v>
      </c>
      <c r="I17" s="27">
        <v>0</v>
      </c>
      <c r="J17" s="27">
        <v>392</v>
      </c>
      <c r="K17" s="30">
        <f t="shared" si="1"/>
        <v>2622</v>
      </c>
      <c r="L17" s="27">
        <v>2230</v>
      </c>
      <c r="M17" s="27">
        <v>0</v>
      </c>
      <c r="N17" s="27">
        <v>0</v>
      </c>
      <c r="O17" s="27">
        <v>392</v>
      </c>
      <c r="P17" s="30">
        <f t="shared" si="2"/>
        <v>2500</v>
      </c>
      <c r="Q17" s="27">
        <v>2108</v>
      </c>
      <c r="R17" s="27">
        <v>0</v>
      </c>
      <c r="S17" s="27">
        <v>0</v>
      </c>
      <c r="T17" s="27">
        <v>392</v>
      </c>
      <c r="U17" s="30">
        <f t="shared" si="3"/>
        <v>-122</v>
      </c>
      <c r="V17" s="27">
        <v>-122</v>
      </c>
      <c r="W17" s="27">
        <v>0</v>
      </c>
      <c r="X17" s="27">
        <v>0</v>
      </c>
      <c r="Y17" s="31">
        <v>0</v>
      </c>
      <c r="Z17" s="559">
        <f t="shared" si="5"/>
        <v>95.347063310450039</v>
      </c>
      <c r="AA17" s="577">
        <f t="shared" si="6"/>
        <v>94.529147982062781</v>
      </c>
      <c r="AB17" s="577" t="str">
        <f t="shared" si="7"/>
        <v xml:space="preserve"> </v>
      </c>
      <c r="AC17" s="577" t="str">
        <f t="shared" si="8"/>
        <v xml:space="preserve"> </v>
      </c>
      <c r="AD17" s="562">
        <f t="shared" si="9"/>
        <v>100</v>
      </c>
    </row>
    <row r="18" spans="2:30" ht="15" thickBot="1" x14ac:dyDescent="0.25">
      <c r="B18" s="339" t="s">
        <v>427</v>
      </c>
      <c r="C18" s="338" t="s">
        <v>517</v>
      </c>
      <c r="D18" s="394" t="s">
        <v>381</v>
      </c>
      <c r="E18" s="35" t="s">
        <v>547</v>
      </c>
      <c r="F18" s="30">
        <f t="shared" si="0"/>
        <v>38</v>
      </c>
      <c r="G18" s="27">
        <v>38</v>
      </c>
      <c r="H18" s="27">
        <v>0</v>
      </c>
      <c r="I18" s="27">
        <v>0</v>
      </c>
      <c r="J18" s="27">
        <v>0</v>
      </c>
      <c r="K18" s="30">
        <f t="shared" si="1"/>
        <v>38</v>
      </c>
      <c r="L18" s="27">
        <v>38</v>
      </c>
      <c r="M18" s="27">
        <v>0</v>
      </c>
      <c r="N18" s="27">
        <v>0</v>
      </c>
      <c r="O18" s="27">
        <v>0</v>
      </c>
      <c r="P18" s="30">
        <f t="shared" si="2"/>
        <v>40</v>
      </c>
      <c r="Q18" s="27">
        <v>40</v>
      </c>
      <c r="R18" s="27">
        <v>0</v>
      </c>
      <c r="S18" s="27">
        <v>0</v>
      </c>
      <c r="T18" s="27">
        <v>0</v>
      </c>
      <c r="U18" s="30">
        <f t="shared" si="3"/>
        <v>2</v>
      </c>
      <c r="V18" s="27">
        <v>2</v>
      </c>
      <c r="W18" s="27">
        <v>0</v>
      </c>
      <c r="X18" s="27">
        <v>0</v>
      </c>
      <c r="Y18" s="31">
        <v>0</v>
      </c>
      <c r="Z18" s="559">
        <f t="shared" si="5"/>
        <v>105.26315789473684</v>
      </c>
      <c r="AA18" s="577">
        <f t="shared" si="6"/>
        <v>105.26315789473684</v>
      </c>
      <c r="AB18" s="577" t="str">
        <f t="shared" si="7"/>
        <v xml:space="preserve"> </v>
      </c>
      <c r="AC18" s="577" t="str">
        <f t="shared" si="8"/>
        <v xml:space="preserve"> </v>
      </c>
      <c r="AD18" s="562" t="str">
        <f t="shared" si="9"/>
        <v xml:space="preserve"> </v>
      </c>
    </row>
    <row r="19" spans="2:30" ht="15" thickBot="1" x14ac:dyDescent="0.25">
      <c r="B19" s="339" t="s">
        <v>427</v>
      </c>
      <c r="C19" s="338" t="s">
        <v>520</v>
      </c>
      <c r="D19" s="394" t="s">
        <v>381</v>
      </c>
      <c r="E19" s="35" t="s">
        <v>547</v>
      </c>
      <c r="F19" s="30">
        <f t="shared" si="0"/>
        <v>2</v>
      </c>
      <c r="G19" s="27">
        <v>2</v>
      </c>
      <c r="H19" s="27">
        <v>0</v>
      </c>
      <c r="I19" s="27">
        <v>0</v>
      </c>
      <c r="J19" s="27">
        <v>0</v>
      </c>
      <c r="K19" s="30">
        <f t="shared" si="1"/>
        <v>2</v>
      </c>
      <c r="L19" s="27">
        <v>2</v>
      </c>
      <c r="M19" s="27">
        <v>0</v>
      </c>
      <c r="N19" s="27">
        <v>0</v>
      </c>
      <c r="O19" s="27">
        <v>0</v>
      </c>
      <c r="P19" s="30">
        <f t="shared" si="2"/>
        <v>2</v>
      </c>
      <c r="Q19" s="27">
        <v>2</v>
      </c>
      <c r="R19" s="27">
        <v>0</v>
      </c>
      <c r="S19" s="27">
        <v>0</v>
      </c>
      <c r="T19" s="27">
        <v>0</v>
      </c>
      <c r="U19" s="30">
        <f t="shared" si="3"/>
        <v>0</v>
      </c>
      <c r="V19" s="27">
        <v>0</v>
      </c>
      <c r="W19" s="27">
        <v>0</v>
      </c>
      <c r="X19" s="27">
        <v>0</v>
      </c>
      <c r="Y19" s="31">
        <v>0</v>
      </c>
      <c r="Z19" s="559">
        <f t="shared" si="5"/>
        <v>100</v>
      </c>
      <c r="AA19" s="577">
        <f t="shared" si="6"/>
        <v>100</v>
      </c>
      <c r="AB19" s="577" t="str">
        <f t="shared" si="7"/>
        <v xml:space="preserve"> </v>
      </c>
      <c r="AC19" s="577" t="str">
        <f t="shared" si="8"/>
        <v xml:space="preserve"> </v>
      </c>
      <c r="AD19" s="562" t="str">
        <f t="shared" si="9"/>
        <v xml:space="preserve"> </v>
      </c>
    </row>
    <row r="20" spans="2:30" ht="15.75" thickBot="1" x14ac:dyDescent="0.25">
      <c r="B20" s="336" t="s">
        <v>427</v>
      </c>
      <c r="C20" s="335"/>
      <c r="D20" s="393" t="s">
        <v>381</v>
      </c>
      <c r="E20" s="333" t="s">
        <v>547</v>
      </c>
      <c r="F20" s="34">
        <f t="shared" si="0"/>
        <v>2705</v>
      </c>
      <c r="G20" s="331">
        <f>SUM(G16:G19)</f>
        <v>2313</v>
      </c>
      <c r="H20" s="331">
        <f>SUM(H16:H19)</f>
        <v>0</v>
      </c>
      <c r="I20" s="331">
        <f>SUM(I16:I19)</f>
        <v>0</v>
      </c>
      <c r="J20" s="331">
        <f>SUM(J16:J19)</f>
        <v>392</v>
      </c>
      <c r="K20" s="34">
        <f t="shared" si="1"/>
        <v>2705</v>
      </c>
      <c r="L20" s="331">
        <f>SUM(L16:L19)</f>
        <v>2313</v>
      </c>
      <c r="M20" s="331">
        <f>SUM(M16:M19)</f>
        <v>0</v>
      </c>
      <c r="N20" s="331">
        <f>SUM(N16:N19)</f>
        <v>0</v>
      </c>
      <c r="O20" s="331">
        <f>SUM(O16:O19)</f>
        <v>392</v>
      </c>
      <c r="P20" s="34">
        <f t="shared" si="2"/>
        <v>2587</v>
      </c>
      <c r="Q20" s="331">
        <f>SUM(Q16:Q19)</f>
        <v>2195</v>
      </c>
      <c r="R20" s="331">
        <f>SUM(R16:R19)</f>
        <v>0</v>
      </c>
      <c r="S20" s="331">
        <f>SUM(S16:S19)</f>
        <v>0</v>
      </c>
      <c r="T20" s="331">
        <f>SUM(T16:T19)</f>
        <v>392</v>
      </c>
      <c r="U20" s="34">
        <f t="shared" si="3"/>
        <v>-118</v>
      </c>
      <c r="V20" s="331">
        <f>SUM(V16:V19)</f>
        <v>-118</v>
      </c>
      <c r="W20" s="331">
        <f>SUM(W16:W19)</f>
        <v>0</v>
      </c>
      <c r="X20" s="331">
        <f>SUM(X16:X19)</f>
        <v>0</v>
      </c>
      <c r="Y20" s="330">
        <f>SUM(Y16:Y19)</f>
        <v>0</v>
      </c>
      <c r="Z20" s="564">
        <f t="shared" si="5"/>
        <v>95.637707948243985</v>
      </c>
      <c r="AA20" s="578">
        <f t="shared" si="6"/>
        <v>94.898400345871153</v>
      </c>
      <c r="AB20" s="578" t="str">
        <f t="shared" si="7"/>
        <v xml:space="preserve"> </v>
      </c>
      <c r="AC20" s="578" t="str">
        <f t="shared" si="8"/>
        <v xml:space="preserve"> </v>
      </c>
      <c r="AD20" s="579">
        <f t="shared" si="9"/>
        <v>100</v>
      </c>
    </row>
    <row r="21" spans="2:30" ht="15" thickBot="1" x14ac:dyDescent="0.25">
      <c r="B21" s="339" t="s">
        <v>426</v>
      </c>
      <c r="C21" s="338" t="s">
        <v>516</v>
      </c>
      <c r="D21" s="394" t="s">
        <v>381</v>
      </c>
      <c r="E21" s="35" t="s">
        <v>425</v>
      </c>
      <c r="F21" s="30">
        <f t="shared" si="0"/>
        <v>2127</v>
      </c>
      <c r="G21" s="27">
        <v>2127</v>
      </c>
      <c r="H21" s="27">
        <v>0</v>
      </c>
      <c r="I21" s="27">
        <v>0</v>
      </c>
      <c r="J21" s="27">
        <v>0</v>
      </c>
      <c r="K21" s="30">
        <f t="shared" si="1"/>
        <v>2127</v>
      </c>
      <c r="L21" s="27">
        <v>2127</v>
      </c>
      <c r="M21" s="27">
        <v>0</v>
      </c>
      <c r="N21" s="27">
        <v>0</v>
      </c>
      <c r="O21" s="27">
        <v>0</v>
      </c>
      <c r="P21" s="30">
        <f t="shared" si="2"/>
        <v>2019</v>
      </c>
      <c r="Q21" s="27">
        <v>2019</v>
      </c>
      <c r="R21" s="27">
        <v>0</v>
      </c>
      <c r="S21" s="27">
        <v>0</v>
      </c>
      <c r="T21" s="27">
        <v>0</v>
      </c>
      <c r="U21" s="30">
        <f t="shared" si="3"/>
        <v>-108</v>
      </c>
      <c r="V21" s="27">
        <v>-108</v>
      </c>
      <c r="W21" s="27">
        <v>0</v>
      </c>
      <c r="X21" s="27">
        <v>0</v>
      </c>
      <c r="Y21" s="31">
        <v>0</v>
      </c>
      <c r="Z21" s="559">
        <f t="shared" si="5"/>
        <v>94.922425952045131</v>
      </c>
      <c r="AA21" s="577">
        <f t="shared" si="6"/>
        <v>94.922425952045131</v>
      </c>
      <c r="AB21" s="577" t="str">
        <f t="shared" si="7"/>
        <v xml:space="preserve"> </v>
      </c>
      <c r="AC21" s="577" t="str">
        <f t="shared" si="8"/>
        <v xml:space="preserve"> </v>
      </c>
      <c r="AD21" s="562" t="str">
        <f t="shared" si="9"/>
        <v xml:space="preserve"> </v>
      </c>
    </row>
    <row r="22" spans="2:30" ht="15" thickBot="1" x14ac:dyDescent="0.25">
      <c r="B22" s="339" t="s">
        <v>426</v>
      </c>
      <c r="C22" s="338" t="s">
        <v>517</v>
      </c>
      <c r="D22" s="394" t="s">
        <v>381</v>
      </c>
      <c r="E22" s="35" t="s">
        <v>425</v>
      </c>
      <c r="F22" s="30">
        <f t="shared" si="0"/>
        <v>14</v>
      </c>
      <c r="G22" s="27">
        <v>14</v>
      </c>
      <c r="H22" s="27">
        <v>0</v>
      </c>
      <c r="I22" s="27">
        <v>0</v>
      </c>
      <c r="J22" s="27">
        <v>0</v>
      </c>
      <c r="K22" s="30">
        <f t="shared" si="1"/>
        <v>14</v>
      </c>
      <c r="L22" s="27">
        <v>14</v>
      </c>
      <c r="M22" s="27">
        <v>0</v>
      </c>
      <c r="N22" s="27">
        <v>0</v>
      </c>
      <c r="O22" s="27">
        <v>0</v>
      </c>
      <c r="P22" s="30">
        <f t="shared" si="2"/>
        <v>15</v>
      </c>
      <c r="Q22" s="27">
        <v>15</v>
      </c>
      <c r="R22" s="27">
        <v>0</v>
      </c>
      <c r="S22" s="27">
        <v>0</v>
      </c>
      <c r="T22" s="27">
        <v>0</v>
      </c>
      <c r="U22" s="30">
        <f t="shared" si="3"/>
        <v>1</v>
      </c>
      <c r="V22" s="27">
        <v>1</v>
      </c>
      <c r="W22" s="27">
        <v>0</v>
      </c>
      <c r="X22" s="27">
        <v>0</v>
      </c>
      <c r="Y22" s="31">
        <v>0</v>
      </c>
      <c r="Z22" s="559">
        <f t="shared" si="5"/>
        <v>107.14285714285714</v>
      </c>
      <c r="AA22" s="577">
        <f t="shared" si="6"/>
        <v>107.14285714285714</v>
      </c>
      <c r="AB22" s="577" t="str">
        <f t="shared" si="7"/>
        <v xml:space="preserve"> </v>
      </c>
      <c r="AC22" s="577" t="str">
        <f t="shared" si="8"/>
        <v xml:space="preserve"> </v>
      </c>
      <c r="AD22" s="562" t="str">
        <f t="shared" si="9"/>
        <v xml:space="preserve"> </v>
      </c>
    </row>
    <row r="23" spans="2:30" ht="15.75" thickBot="1" x14ac:dyDescent="0.25">
      <c r="B23" s="336" t="s">
        <v>426</v>
      </c>
      <c r="C23" s="335"/>
      <c r="D23" s="393" t="s">
        <v>381</v>
      </c>
      <c r="E23" s="333" t="s">
        <v>425</v>
      </c>
      <c r="F23" s="34">
        <f t="shared" si="0"/>
        <v>2141</v>
      </c>
      <c r="G23" s="331">
        <f>SUM(G21:G22)</f>
        <v>2141</v>
      </c>
      <c r="H23" s="331">
        <f>SUM(H21:H22)</f>
        <v>0</v>
      </c>
      <c r="I23" s="331">
        <f>SUM(I21:I22)</f>
        <v>0</v>
      </c>
      <c r="J23" s="331">
        <f>SUM(J21:J22)</f>
        <v>0</v>
      </c>
      <c r="K23" s="34">
        <f t="shared" si="1"/>
        <v>2141</v>
      </c>
      <c r="L23" s="331">
        <f>SUM(L21:L22)</f>
        <v>2141</v>
      </c>
      <c r="M23" s="331">
        <f>SUM(M21:M22)</f>
        <v>0</v>
      </c>
      <c r="N23" s="331">
        <f>SUM(N21:N22)</f>
        <v>0</v>
      </c>
      <c r="O23" s="331">
        <f>SUM(O21:O22)</f>
        <v>0</v>
      </c>
      <c r="P23" s="34">
        <f t="shared" si="2"/>
        <v>2034</v>
      </c>
      <c r="Q23" s="331">
        <f>SUM(Q21:Q22)</f>
        <v>2034</v>
      </c>
      <c r="R23" s="331">
        <f>SUM(R21:R22)</f>
        <v>0</v>
      </c>
      <c r="S23" s="331">
        <f>SUM(S21:S22)</f>
        <v>0</v>
      </c>
      <c r="T23" s="331">
        <f>SUM(T21:T22)</f>
        <v>0</v>
      </c>
      <c r="U23" s="34">
        <f t="shared" si="3"/>
        <v>-107</v>
      </c>
      <c r="V23" s="331">
        <f>SUM(V21:V22)</f>
        <v>-107</v>
      </c>
      <c r="W23" s="331">
        <f>SUM(W21:W22)</f>
        <v>0</v>
      </c>
      <c r="X23" s="331">
        <f>SUM(X21:X22)</f>
        <v>0</v>
      </c>
      <c r="Y23" s="330">
        <f>SUM(Y21:Y22)</f>
        <v>0</v>
      </c>
      <c r="Z23" s="564">
        <f t="shared" si="5"/>
        <v>95.002335357309661</v>
      </c>
      <c r="AA23" s="578">
        <f t="shared" si="6"/>
        <v>95.002335357309661</v>
      </c>
      <c r="AB23" s="578" t="str">
        <f t="shared" si="7"/>
        <v xml:space="preserve"> </v>
      </c>
      <c r="AC23" s="578" t="str">
        <f t="shared" si="8"/>
        <v xml:space="preserve"> </v>
      </c>
      <c r="AD23" s="579" t="str">
        <f t="shared" si="9"/>
        <v xml:space="preserve"> </v>
      </c>
    </row>
    <row r="24" spans="2:30" ht="15" thickBot="1" x14ac:dyDescent="0.25">
      <c r="B24" s="339" t="s">
        <v>424</v>
      </c>
      <c r="C24" s="338" t="s">
        <v>516</v>
      </c>
      <c r="D24" s="394" t="s">
        <v>381</v>
      </c>
      <c r="E24" s="35" t="s">
        <v>546</v>
      </c>
      <c r="F24" s="30">
        <f t="shared" si="0"/>
        <v>1161</v>
      </c>
      <c r="G24" s="27">
        <v>604</v>
      </c>
      <c r="H24" s="27">
        <v>0</v>
      </c>
      <c r="I24" s="27">
        <v>0</v>
      </c>
      <c r="J24" s="27">
        <v>557</v>
      </c>
      <c r="K24" s="30">
        <f t="shared" si="1"/>
        <v>1161</v>
      </c>
      <c r="L24" s="27">
        <v>604</v>
      </c>
      <c r="M24" s="27">
        <v>0</v>
      </c>
      <c r="N24" s="27">
        <v>0</v>
      </c>
      <c r="O24" s="27">
        <v>557</v>
      </c>
      <c r="P24" s="30">
        <f t="shared" si="2"/>
        <v>1134</v>
      </c>
      <c r="Q24" s="27">
        <v>575</v>
      </c>
      <c r="R24" s="27">
        <v>0</v>
      </c>
      <c r="S24" s="27">
        <v>0</v>
      </c>
      <c r="T24" s="27">
        <v>559</v>
      </c>
      <c r="U24" s="30">
        <f t="shared" si="3"/>
        <v>-27</v>
      </c>
      <c r="V24" s="27">
        <v>-29</v>
      </c>
      <c r="W24" s="27">
        <v>0</v>
      </c>
      <c r="X24" s="27">
        <v>0</v>
      </c>
      <c r="Y24" s="31">
        <v>2</v>
      </c>
      <c r="Z24" s="559">
        <f t="shared" si="5"/>
        <v>97.674418604651152</v>
      </c>
      <c r="AA24" s="577">
        <f t="shared" si="6"/>
        <v>95.19867549668875</v>
      </c>
      <c r="AB24" s="577" t="str">
        <f t="shared" si="7"/>
        <v xml:space="preserve"> </v>
      </c>
      <c r="AC24" s="577" t="str">
        <f t="shared" si="8"/>
        <v xml:space="preserve"> </v>
      </c>
      <c r="AD24" s="562">
        <f t="shared" si="9"/>
        <v>100.35906642728905</v>
      </c>
    </row>
    <row r="25" spans="2:30" ht="15.75" thickBot="1" x14ac:dyDescent="0.25">
      <c r="B25" s="336" t="s">
        <v>424</v>
      </c>
      <c r="C25" s="335"/>
      <c r="D25" s="393" t="s">
        <v>381</v>
      </c>
      <c r="E25" s="333" t="s">
        <v>546</v>
      </c>
      <c r="F25" s="34">
        <f t="shared" si="0"/>
        <v>1161</v>
      </c>
      <c r="G25" s="331">
        <f>G24</f>
        <v>604</v>
      </c>
      <c r="H25" s="331">
        <f>H24</f>
        <v>0</v>
      </c>
      <c r="I25" s="331">
        <f>I24</f>
        <v>0</v>
      </c>
      <c r="J25" s="331">
        <f>J24</f>
        <v>557</v>
      </c>
      <c r="K25" s="34">
        <f t="shared" si="1"/>
        <v>1161</v>
      </c>
      <c r="L25" s="331">
        <f>L24</f>
        <v>604</v>
      </c>
      <c r="M25" s="331">
        <f>M24</f>
        <v>0</v>
      </c>
      <c r="N25" s="331">
        <f>N24</f>
        <v>0</v>
      </c>
      <c r="O25" s="331">
        <f>O24</f>
        <v>557</v>
      </c>
      <c r="P25" s="34">
        <f t="shared" si="2"/>
        <v>1134</v>
      </c>
      <c r="Q25" s="331">
        <f>Q24</f>
        <v>575</v>
      </c>
      <c r="R25" s="331">
        <f>R24</f>
        <v>0</v>
      </c>
      <c r="S25" s="331">
        <f>S24</f>
        <v>0</v>
      </c>
      <c r="T25" s="331">
        <f>T24</f>
        <v>559</v>
      </c>
      <c r="U25" s="34">
        <f t="shared" si="3"/>
        <v>-27</v>
      </c>
      <c r="V25" s="331">
        <f>V24</f>
        <v>-29</v>
      </c>
      <c r="W25" s="331">
        <f>W24</f>
        <v>0</v>
      </c>
      <c r="X25" s="331">
        <f>X24</f>
        <v>0</v>
      </c>
      <c r="Y25" s="330">
        <f>Y24</f>
        <v>2</v>
      </c>
      <c r="Z25" s="564">
        <f t="shared" si="5"/>
        <v>97.674418604651152</v>
      </c>
      <c r="AA25" s="578">
        <f t="shared" si="6"/>
        <v>95.19867549668875</v>
      </c>
      <c r="AB25" s="578" t="str">
        <f t="shared" si="7"/>
        <v xml:space="preserve"> </v>
      </c>
      <c r="AC25" s="578" t="str">
        <f t="shared" si="8"/>
        <v xml:space="preserve"> </v>
      </c>
      <c r="AD25" s="579">
        <f t="shared" si="9"/>
        <v>100.35906642728905</v>
      </c>
    </row>
    <row r="26" spans="2:30" ht="15" thickBot="1" x14ac:dyDescent="0.25">
      <c r="B26" s="339" t="s">
        <v>423</v>
      </c>
      <c r="C26" s="338" t="s">
        <v>515</v>
      </c>
      <c r="D26" s="394" t="s">
        <v>381</v>
      </c>
      <c r="E26" s="35" t="s">
        <v>422</v>
      </c>
      <c r="F26" s="30">
        <f t="shared" si="0"/>
        <v>4816</v>
      </c>
      <c r="G26" s="27">
        <v>4356</v>
      </c>
      <c r="H26" s="27">
        <v>0</v>
      </c>
      <c r="I26" s="27">
        <v>0</v>
      </c>
      <c r="J26" s="27">
        <v>460</v>
      </c>
      <c r="K26" s="30">
        <f t="shared" si="1"/>
        <v>4816</v>
      </c>
      <c r="L26" s="27">
        <v>4356</v>
      </c>
      <c r="M26" s="27">
        <v>0</v>
      </c>
      <c r="N26" s="27">
        <v>0</v>
      </c>
      <c r="O26" s="27">
        <v>460</v>
      </c>
      <c r="P26" s="30">
        <f t="shared" si="2"/>
        <v>4822</v>
      </c>
      <c r="Q26" s="27">
        <v>4272</v>
      </c>
      <c r="R26" s="27">
        <v>0</v>
      </c>
      <c r="S26" s="27">
        <v>0</v>
      </c>
      <c r="T26" s="27">
        <v>550</v>
      </c>
      <c r="U26" s="30">
        <f t="shared" si="3"/>
        <v>6</v>
      </c>
      <c r="V26" s="27">
        <v>-84</v>
      </c>
      <c r="W26" s="27">
        <v>0</v>
      </c>
      <c r="X26" s="27">
        <v>0</v>
      </c>
      <c r="Y26" s="31">
        <v>90</v>
      </c>
      <c r="Z26" s="559">
        <f t="shared" si="5"/>
        <v>100.12458471760797</v>
      </c>
      <c r="AA26" s="577">
        <f t="shared" si="6"/>
        <v>98.071625344352626</v>
      </c>
      <c r="AB26" s="577" t="str">
        <f t="shared" si="7"/>
        <v xml:space="preserve"> </v>
      </c>
      <c r="AC26" s="577" t="str">
        <f t="shared" si="8"/>
        <v xml:space="preserve"> </v>
      </c>
      <c r="AD26" s="562">
        <f t="shared" si="9"/>
        <v>119.56521739130434</v>
      </c>
    </row>
    <row r="27" spans="2:30" ht="15" thickBot="1" x14ac:dyDescent="0.25">
      <c r="B27" s="339" t="s">
        <v>423</v>
      </c>
      <c r="C27" s="338" t="s">
        <v>498</v>
      </c>
      <c r="D27" s="394" t="s">
        <v>381</v>
      </c>
      <c r="E27" s="35" t="s">
        <v>422</v>
      </c>
      <c r="F27" s="30">
        <f t="shared" si="0"/>
        <v>975</v>
      </c>
      <c r="G27" s="27">
        <v>975</v>
      </c>
      <c r="H27" s="27">
        <v>0</v>
      </c>
      <c r="I27" s="27">
        <v>0</v>
      </c>
      <c r="J27" s="27">
        <v>0</v>
      </c>
      <c r="K27" s="30">
        <f t="shared" si="1"/>
        <v>975</v>
      </c>
      <c r="L27" s="27">
        <v>975</v>
      </c>
      <c r="M27" s="27">
        <v>0</v>
      </c>
      <c r="N27" s="27">
        <v>0</v>
      </c>
      <c r="O27" s="27">
        <v>0</v>
      </c>
      <c r="P27" s="30">
        <f t="shared" si="2"/>
        <v>926</v>
      </c>
      <c r="Q27" s="27">
        <v>926</v>
      </c>
      <c r="R27" s="27">
        <v>0</v>
      </c>
      <c r="S27" s="27">
        <v>0</v>
      </c>
      <c r="T27" s="27">
        <v>0</v>
      </c>
      <c r="U27" s="30">
        <f t="shared" si="3"/>
        <v>-49</v>
      </c>
      <c r="V27" s="27">
        <v>-49</v>
      </c>
      <c r="W27" s="27">
        <v>0</v>
      </c>
      <c r="X27" s="27">
        <v>0</v>
      </c>
      <c r="Y27" s="31">
        <v>0</v>
      </c>
      <c r="Z27" s="559">
        <f t="shared" si="5"/>
        <v>94.974358974358978</v>
      </c>
      <c r="AA27" s="577">
        <f t="shared" si="6"/>
        <v>94.974358974358978</v>
      </c>
      <c r="AB27" s="577" t="str">
        <f t="shared" si="7"/>
        <v xml:space="preserve"> </v>
      </c>
      <c r="AC27" s="577" t="str">
        <f t="shared" si="8"/>
        <v xml:space="preserve"> </v>
      </c>
      <c r="AD27" s="562" t="str">
        <f t="shared" si="9"/>
        <v xml:space="preserve"> </v>
      </c>
    </row>
    <row r="28" spans="2:30" ht="26.25" thickBot="1" x14ac:dyDescent="0.25">
      <c r="B28" s="336" t="s">
        <v>423</v>
      </c>
      <c r="C28" s="335"/>
      <c r="D28" s="393" t="s">
        <v>381</v>
      </c>
      <c r="E28" s="333" t="s">
        <v>422</v>
      </c>
      <c r="F28" s="34">
        <f t="shared" si="0"/>
        <v>5791</v>
      </c>
      <c r="G28" s="331">
        <f>SUM(G26:G27)</f>
        <v>5331</v>
      </c>
      <c r="H28" s="331">
        <f>SUM(H26:H27)</f>
        <v>0</v>
      </c>
      <c r="I28" s="331">
        <f>SUM(I26:I27)</f>
        <v>0</v>
      </c>
      <c r="J28" s="331">
        <f>SUM(J26:J27)</f>
        <v>460</v>
      </c>
      <c r="K28" s="34">
        <f t="shared" si="1"/>
        <v>5791</v>
      </c>
      <c r="L28" s="331">
        <f>SUM(L26:L27)</f>
        <v>5331</v>
      </c>
      <c r="M28" s="331">
        <f>SUM(M26:M27)</f>
        <v>0</v>
      </c>
      <c r="N28" s="331">
        <f>SUM(N26:N27)</f>
        <v>0</v>
      </c>
      <c r="O28" s="331">
        <f>SUM(O26:O27)</f>
        <v>460</v>
      </c>
      <c r="P28" s="34">
        <f t="shared" si="2"/>
        <v>5748</v>
      </c>
      <c r="Q28" s="331">
        <f>SUM(Q26:Q27)</f>
        <v>5198</v>
      </c>
      <c r="R28" s="331">
        <f>SUM(R26:R27)</f>
        <v>0</v>
      </c>
      <c r="S28" s="331">
        <f>SUM(S26:S27)</f>
        <v>0</v>
      </c>
      <c r="T28" s="331">
        <f>SUM(T26:T27)</f>
        <v>550</v>
      </c>
      <c r="U28" s="34">
        <f t="shared" si="3"/>
        <v>-43</v>
      </c>
      <c r="V28" s="331">
        <f>SUM(V26:V27)</f>
        <v>-133</v>
      </c>
      <c r="W28" s="331">
        <f>SUM(W26:W27)</f>
        <v>0</v>
      </c>
      <c r="X28" s="331">
        <f>SUM(X26:X27)</f>
        <v>0</v>
      </c>
      <c r="Y28" s="330">
        <f>SUM(Y26:Y27)</f>
        <v>90</v>
      </c>
      <c r="Z28" s="564">
        <f t="shared" si="5"/>
        <v>99.257468485581086</v>
      </c>
      <c r="AA28" s="578">
        <f t="shared" si="6"/>
        <v>97.50515850684674</v>
      </c>
      <c r="AB28" s="578" t="str">
        <f t="shared" si="7"/>
        <v xml:space="preserve"> </v>
      </c>
      <c r="AC28" s="578" t="str">
        <f t="shared" si="8"/>
        <v xml:space="preserve"> </v>
      </c>
      <c r="AD28" s="579">
        <f t="shared" si="9"/>
        <v>119.56521739130434</v>
      </c>
    </row>
    <row r="29" spans="2:30" ht="15" thickBot="1" x14ac:dyDescent="0.25">
      <c r="B29" s="339" t="s">
        <v>421</v>
      </c>
      <c r="C29" s="338" t="s">
        <v>515</v>
      </c>
      <c r="D29" s="394" t="s">
        <v>381</v>
      </c>
      <c r="E29" s="35" t="s">
        <v>420</v>
      </c>
      <c r="F29" s="30">
        <f t="shared" si="0"/>
        <v>2547</v>
      </c>
      <c r="G29" s="27">
        <v>1745</v>
      </c>
      <c r="H29" s="27">
        <v>0</v>
      </c>
      <c r="I29" s="27">
        <v>0</v>
      </c>
      <c r="J29" s="27">
        <v>802</v>
      </c>
      <c r="K29" s="30">
        <f t="shared" si="1"/>
        <v>2547</v>
      </c>
      <c r="L29" s="27">
        <v>1745</v>
      </c>
      <c r="M29" s="27">
        <v>0</v>
      </c>
      <c r="N29" s="27">
        <v>0</v>
      </c>
      <c r="O29" s="27">
        <v>802</v>
      </c>
      <c r="P29" s="30">
        <f t="shared" si="2"/>
        <v>2483</v>
      </c>
      <c r="Q29" s="27">
        <v>1657</v>
      </c>
      <c r="R29" s="27">
        <v>0</v>
      </c>
      <c r="S29" s="27">
        <v>0</v>
      </c>
      <c r="T29" s="27">
        <v>826</v>
      </c>
      <c r="U29" s="30">
        <f t="shared" si="3"/>
        <v>-64</v>
      </c>
      <c r="V29" s="27">
        <v>-88</v>
      </c>
      <c r="W29" s="27">
        <v>0</v>
      </c>
      <c r="X29" s="27">
        <v>0</v>
      </c>
      <c r="Y29" s="31">
        <v>24</v>
      </c>
      <c r="Z29" s="559">
        <f t="shared" si="5"/>
        <v>97.487239890066746</v>
      </c>
      <c r="AA29" s="577">
        <f t="shared" si="6"/>
        <v>94.957020057306579</v>
      </c>
      <c r="AB29" s="577" t="str">
        <f t="shared" si="7"/>
        <v xml:space="preserve"> </v>
      </c>
      <c r="AC29" s="577" t="str">
        <f t="shared" si="8"/>
        <v xml:space="preserve"> </v>
      </c>
      <c r="AD29" s="562">
        <f t="shared" si="9"/>
        <v>102.99251870324188</v>
      </c>
    </row>
    <row r="30" spans="2:30" ht="15" thickBot="1" x14ac:dyDescent="0.25">
      <c r="B30" s="339" t="s">
        <v>421</v>
      </c>
      <c r="C30" s="338" t="s">
        <v>498</v>
      </c>
      <c r="D30" s="394" t="s">
        <v>381</v>
      </c>
      <c r="E30" s="35" t="s">
        <v>420</v>
      </c>
      <c r="F30" s="30">
        <f t="shared" si="0"/>
        <v>368</v>
      </c>
      <c r="G30" s="27">
        <v>368</v>
      </c>
      <c r="H30" s="27">
        <v>0</v>
      </c>
      <c r="I30" s="27">
        <v>0</v>
      </c>
      <c r="J30" s="27">
        <v>0</v>
      </c>
      <c r="K30" s="30">
        <f t="shared" si="1"/>
        <v>368</v>
      </c>
      <c r="L30" s="27">
        <v>368</v>
      </c>
      <c r="M30" s="27">
        <v>0</v>
      </c>
      <c r="N30" s="27">
        <v>0</v>
      </c>
      <c r="O30" s="27">
        <v>0</v>
      </c>
      <c r="P30" s="30">
        <f t="shared" si="2"/>
        <v>350</v>
      </c>
      <c r="Q30" s="27">
        <v>350</v>
      </c>
      <c r="R30" s="27">
        <v>0</v>
      </c>
      <c r="S30" s="27">
        <v>0</v>
      </c>
      <c r="T30" s="27">
        <v>0</v>
      </c>
      <c r="U30" s="30">
        <f t="shared" si="3"/>
        <v>-18</v>
      </c>
      <c r="V30" s="27">
        <v>-18</v>
      </c>
      <c r="W30" s="27">
        <v>0</v>
      </c>
      <c r="X30" s="27">
        <v>0</v>
      </c>
      <c r="Y30" s="31">
        <v>0</v>
      </c>
      <c r="Z30" s="559">
        <f t="shared" si="5"/>
        <v>95.108695652173907</v>
      </c>
      <c r="AA30" s="577">
        <f t="shared" si="6"/>
        <v>95.108695652173907</v>
      </c>
      <c r="AB30" s="577" t="str">
        <f t="shared" si="7"/>
        <v xml:space="preserve"> </v>
      </c>
      <c r="AC30" s="577" t="str">
        <f t="shared" si="8"/>
        <v xml:space="preserve"> </v>
      </c>
      <c r="AD30" s="562" t="str">
        <f t="shared" si="9"/>
        <v xml:space="preserve"> </v>
      </c>
    </row>
    <row r="31" spans="2:30" ht="15.75" thickBot="1" x14ac:dyDescent="0.25">
      <c r="B31" s="336" t="s">
        <v>421</v>
      </c>
      <c r="C31" s="335"/>
      <c r="D31" s="393" t="s">
        <v>381</v>
      </c>
      <c r="E31" s="333" t="s">
        <v>420</v>
      </c>
      <c r="F31" s="34">
        <f t="shared" si="0"/>
        <v>2915</v>
      </c>
      <c r="G31" s="331">
        <f>SUM(G29:G30)</f>
        <v>2113</v>
      </c>
      <c r="H31" s="331">
        <f>SUM(H29:H30)</f>
        <v>0</v>
      </c>
      <c r="I31" s="331">
        <f>SUM(I29:I30)</f>
        <v>0</v>
      </c>
      <c r="J31" s="331">
        <f>SUM(J29:J30)</f>
        <v>802</v>
      </c>
      <c r="K31" s="34">
        <f t="shared" si="1"/>
        <v>2915</v>
      </c>
      <c r="L31" s="331">
        <f>SUM(L29:L30)</f>
        <v>2113</v>
      </c>
      <c r="M31" s="331">
        <f>SUM(M29:M30)</f>
        <v>0</v>
      </c>
      <c r="N31" s="331">
        <f>SUM(N29:N30)</f>
        <v>0</v>
      </c>
      <c r="O31" s="331">
        <f>SUM(O29:O30)</f>
        <v>802</v>
      </c>
      <c r="P31" s="34">
        <f t="shared" si="2"/>
        <v>2833</v>
      </c>
      <c r="Q31" s="331">
        <f>SUM(Q29:Q30)</f>
        <v>2007</v>
      </c>
      <c r="R31" s="331">
        <f>SUM(R29:R30)</f>
        <v>0</v>
      </c>
      <c r="S31" s="331">
        <f>SUM(S29:S30)</f>
        <v>0</v>
      </c>
      <c r="T31" s="331">
        <f>SUM(T29:T30)</f>
        <v>826</v>
      </c>
      <c r="U31" s="34">
        <f t="shared" si="3"/>
        <v>-82</v>
      </c>
      <c r="V31" s="331">
        <f>SUM(V29:V30)</f>
        <v>-106</v>
      </c>
      <c r="W31" s="331">
        <f>SUM(W29:W30)</f>
        <v>0</v>
      </c>
      <c r="X31" s="331">
        <f>SUM(X29:X30)</f>
        <v>0</v>
      </c>
      <c r="Y31" s="330">
        <f>SUM(Y29:Y30)</f>
        <v>24</v>
      </c>
      <c r="Z31" s="564">
        <f t="shared" si="5"/>
        <v>97.186963979416802</v>
      </c>
      <c r="AA31" s="578">
        <f t="shared" si="6"/>
        <v>94.983435873166115</v>
      </c>
      <c r="AB31" s="578" t="str">
        <f t="shared" si="7"/>
        <v xml:space="preserve"> </v>
      </c>
      <c r="AC31" s="578" t="str">
        <f t="shared" si="8"/>
        <v xml:space="preserve"> </v>
      </c>
      <c r="AD31" s="579">
        <f t="shared" si="9"/>
        <v>102.99251870324188</v>
      </c>
    </row>
    <row r="32" spans="2:30" ht="15" thickBot="1" x14ac:dyDescent="0.25">
      <c r="B32" s="339" t="s">
        <v>419</v>
      </c>
      <c r="C32" s="338" t="s">
        <v>515</v>
      </c>
      <c r="D32" s="394" t="s">
        <v>381</v>
      </c>
      <c r="E32" s="35" t="s">
        <v>418</v>
      </c>
      <c r="F32" s="30">
        <f t="shared" si="0"/>
        <v>2795</v>
      </c>
      <c r="G32" s="27">
        <v>1571</v>
      </c>
      <c r="H32" s="27">
        <v>0</v>
      </c>
      <c r="I32" s="27">
        <v>0</v>
      </c>
      <c r="J32" s="27">
        <v>1224</v>
      </c>
      <c r="K32" s="30">
        <f t="shared" si="1"/>
        <v>2795</v>
      </c>
      <c r="L32" s="27">
        <v>1571</v>
      </c>
      <c r="M32" s="27">
        <v>0</v>
      </c>
      <c r="N32" s="27">
        <v>0</v>
      </c>
      <c r="O32" s="27">
        <v>1224</v>
      </c>
      <c r="P32" s="30">
        <f t="shared" si="2"/>
        <v>2714</v>
      </c>
      <c r="Q32" s="27">
        <v>1492</v>
      </c>
      <c r="R32" s="27">
        <v>0</v>
      </c>
      <c r="S32" s="27">
        <v>0</v>
      </c>
      <c r="T32" s="27">
        <v>1222</v>
      </c>
      <c r="U32" s="30">
        <f t="shared" si="3"/>
        <v>-81</v>
      </c>
      <c r="V32" s="27">
        <v>-79</v>
      </c>
      <c r="W32" s="27">
        <v>0</v>
      </c>
      <c r="X32" s="27">
        <v>0</v>
      </c>
      <c r="Y32" s="31">
        <v>-2</v>
      </c>
      <c r="Z32" s="559">
        <f t="shared" si="5"/>
        <v>97.101967799642225</v>
      </c>
      <c r="AA32" s="577">
        <f t="shared" si="6"/>
        <v>94.971355824315722</v>
      </c>
      <c r="AB32" s="577" t="str">
        <f t="shared" si="7"/>
        <v xml:space="preserve"> </v>
      </c>
      <c r="AC32" s="577" t="str">
        <f t="shared" si="8"/>
        <v xml:space="preserve"> </v>
      </c>
      <c r="AD32" s="562">
        <f t="shared" si="9"/>
        <v>99.83660130718954</v>
      </c>
    </row>
    <row r="33" spans="2:30" ht="15" thickBot="1" x14ac:dyDescent="0.25">
      <c r="B33" s="339" t="s">
        <v>419</v>
      </c>
      <c r="C33" s="338" t="s">
        <v>498</v>
      </c>
      <c r="D33" s="394" t="s">
        <v>381</v>
      </c>
      <c r="E33" s="35" t="s">
        <v>418</v>
      </c>
      <c r="F33" s="30">
        <f t="shared" si="0"/>
        <v>446</v>
      </c>
      <c r="G33" s="27">
        <v>446</v>
      </c>
      <c r="H33" s="27">
        <v>0</v>
      </c>
      <c r="I33" s="27">
        <v>0</v>
      </c>
      <c r="J33" s="27">
        <v>0</v>
      </c>
      <c r="K33" s="30">
        <f t="shared" si="1"/>
        <v>446</v>
      </c>
      <c r="L33" s="27">
        <v>446</v>
      </c>
      <c r="M33" s="27">
        <v>0</v>
      </c>
      <c r="N33" s="27">
        <v>0</v>
      </c>
      <c r="O33" s="27">
        <v>0</v>
      </c>
      <c r="P33" s="30">
        <f t="shared" si="2"/>
        <v>424</v>
      </c>
      <c r="Q33" s="27">
        <v>424</v>
      </c>
      <c r="R33" s="27">
        <v>0</v>
      </c>
      <c r="S33" s="27">
        <v>0</v>
      </c>
      <c r="T33" s="27">
        <v>0</v>
      </c>
      <c r="U33" s="30">
        <f t="shared" si="3"/>
        <v>-22</v>
      </c>
      <c r="V33" s="27">
        <v>-22</v>
      </c>
      <c r="W33" s="27">
        <v>0</v>
      </c>
      <c r="X33" s="27">
        <v>0</v>
      </c>
      <c r="Y33" s="31">
        <v>0</v>
      </c>
      <c r="Z33" s="559">
        <f t="shared" si="5"/>
        <v>95.067264573991025</v>
      </c>
      <c r="AA33" s="577">
        <f t="shared" si="6"/>
        <v>95.067264573991025</v>
      </c>
      <c r="AB33" s="577" t="str">
        <f t="shared" si="7"/>
        <v xml:space="preserve"> </v>
      </c>
      <c r="AC33" s="577" t="str">
        <f t="shared" si="8"/>
        <v xml:space="preserve"> </v>
      </c>
      <c r="AD33" s="562" t="str">
        <f t="shared" si="9"/>
        <v xml:space="preserve"> </v>
      </c>
    </row>
    <row r="34" spans="2:30" ht="15.75" thickBot="1" x14ac:dyDescent="0.25">
      <c r="B34" s="336" t="s">
        <v>419</v>
      </c>
      <c r="C34" s="335"/>
      <c r="D34" s="393" t="s">
        <v>381</v>
      </c>
      <c r="E34" s="333" t="s">
        <v>418</v>
      </c>
      <c r="F34" s="34">
        <f t="shared" si="0"/>
        <v>3241</v>
      </c>
      <c r="G34" s="331">
        <f>SUM(G32:G33)</f>
        <v>2017</v>
      </c>
      <c r="H34" s="331">
        <f>SUM(H32:H33)</f>
        <v>0</v>
      </c>
      <c r="I34" s="331">
        <f>SUM(I32:I33)</f>
        <v>0</v>
      </c>
      <c r="J34" s="331">
        <f>SUM(J32:J33)</f>
        <v>1224</v>
      </c>
      <c r="K34" s="34">
        <f t="shared" si="1"/>
        <v>3241</v>
      </c>
      <c r="L34" s="331">
        <f>SUM(L32:L33)</f>
        <v>2017</v>
      </c>
      <c r="M34" s="331">
        <f>SUM(M32:M33)</f>
        <v>0</v>
      </c>
      <c r="N34" s="331">
        <f>SUM(N32:N33)</f>
        <v>0</v>
      </c>
      <c r="O34" s="331">
        <f>SUM(O32:O33)</f>
        <v>1224</v>
      </c>
      <c r="P34" s="34">
        <f t="shared" si="2"/>
        <v>3138</v>
      </c>
      <c r="Q34" s="331">
        <f>SUM(Q32:Q33)</f>
        <v>1916</v>
      </c>
      <c r="R34" s="331">
        <f>SUM(R32:R33)</f>
        <v>0</v>
      </c>
      <c r="S34" s="331">
        <f>SUM(S32:S33)</f>
        <v>0</v>
      </c>
      <c r="T34" s="331">
        <f>SUM(T32:T33)</f>
        <v>1222</v>
      </c>
      <c r="U34" s="34">
        <f t="shared" si="3"/>
        <v>-103</v>
      </c>
      <c r="V34" s="331">
        <f>SUM(V32:V33)</f>
        <v>-101</v>
      </c>
      <c r="W34" s="331">
        <f>SUM(W32:W33)</f>
        <v>0</v>
      </c>
      <c r="X34" s="331">
        <f>SUM(X32:X33)</f>
        <v>0</v>
      </c>
      <c r="Y34" s="330">
        <f>SUM(Y32:Y33)</f>
        <v>-2</v>
      </c>
      <c r="Z34" s="564">
        <f t="shared" si="5"/>
        <v>96.821968528232034</v>
      </c>
      <c r="AA34" s="578">
        <f t="shared" si="6"/>
        <v>94.992563212692119</v>
      </c>
      <c r="AB34" s="578" t="str">
        <f t="shared" si="7"/>
        <v xml:space="preserve"> </v>
      </c>
      <c r="AC34" s="578" t="str">
        <f t="shared" si="8"/>
        <v xml:space="preserve"> </v>
      </c>
      <c r="AD34" s="579">
        <f t="shared" si="9"/>
        <v>99.83660130718954</v>
      </c>
    </row>
    <row r="35" spans="2:30" ht="15" thickBot="1" x14ac:dyDescent="0.25">
      <c r="B35" s="339" t="s">
        <v>417</v>
      </c>
      <c r="C35" s="338" t="s">
        <v>511</v>
      </c>
      <c r="D35" s="394" t="s">
        <v>381</v>
      </c>
      <c r="E35" s="35" t="s">
        <v>416</v>
      </c>
      <c r="F35" s="30">
        <f t="shared" si="0"/>
        <v>2828</v>
      </c>
      <c r="G35" s="27">
        <v>2240</v>
      </c>
      <c r="H35" s="27">
        <v>0</v>
      </c>
      <c r="I35" s="27">
        <v>0</v>
      </c>
      <c r="J35" s="27">
        <v>588</v>
      </c>
      <c r="K35" s="30">
        <f t="shared" si="1"/>
        <v>2828</v>
      </c>
      <c r="L35" s="27">
        <v>2186</v>
      </c>
      <c r="M35" s="27">
        <v>54</v>
      </c>
      <c r="N35" s="27">
        <v>0</v>
      </c>
      <c r="O35" s="27">
        <v>588</v>
      </c>
      <c r="P35" s="30">
        <f t="shared" si="2"/>
        <v>2716</v>
      </c>
      <c r="Q35" s="27">
        <v>2093</v>
      </c>
      <c r="R35" s="27">
        <v>0</v>
      </c>
      <c r="S35" s="27">
        <v>0</v>
      </c>
      <c r="T35" s="27">
        <v>623</v>
      </c>
      <c r="U35" s="30">
        <f t="shared" si="3"/>
        <v>-112</v>
      </c>
      <c r="V35" s="27">
        <v>-147</v>
      </c>
      <c r="W35" s="27">
        <v>0</v>
      </c>
      <c r="X35" s="27">
        <v>0</v>
      </c>
      <c r="Y35" s="31">
        <v>35</v>
      </c>
      <c r="Z35" s="559">
        <f t="shared" si="5"/>
        <v>96.039603960396036</v>
      </c>
      <c r="AA35" s="577">
        <f t="shared" si="6"/>
        <v>93.4375</v>
      </c>
      <c r="AB35" s="577" t="str">
        <f t="shared" si="7"/>
        <v xml:space="preserve"> </v>
      </c>
      <c r="AC35" s="577" t="str">
        <f t="shared" si="8"/>
        <v xml:space="preserve"> </v>
      </c>
      <c r="AD35" s="562">
        <f t="shared" si="9"/>
        <v>105.95238095238095</v>
      </c>
    </row>
    <row r="36" spans="2:30" ht="15" thickBot="1" x14ac:dyDescent="0.25">
      <c r="B36" s="339" t="s">
        <v>417</v>
      </c>
      <c r="C36" s="338" t="s">
        <v>506</v>
      </c>
      <c r="D36" s="394" t="s">
        <v>381</v>
      </c>
      <c r="E36" s="35" t="s">
        <v>416</v>
      </c>
      <c r="F36" s="30">
        <f t="shared" si="0"/>
        <v>1812</v>
      </c>
      <c r="G36" s="27">
        <v>1500</v>
      </c>
      <c r="H36" s="27">
        <v>0</v>
      </c>
      <c r="I36" s="27">
        <v>0</v>
      </c>
      <c r="J36" s="27">
        <v>312</v>
      </c>
      <c r="K36" s="30">
        <f t="shared" si="1"/>
        <v>1812</v>
      </c>
      <c r="L36" s="27">
        <v>1500</v>
      </c>
      <c r="M36" s="27">
        <v>0</v>
      </c>
      <c r="N36" s="27">
        <v>0</v>
      </c>
      <c r="O36" s="27">
        <v>312</v>
      </c>
      <c r="P36" s="30">
        <f t="shared" si="2"/>
        <v>1903</v>
      </c>
      <c r="Q36" s="27">
        <v>1600</v>
      </c>
      <c r="R36" s="27">
        <v>0</v>
      </c>
      <c r="S36" s="27">
        <v>0</v>
      </c>
      <c r="T36" s="27">
        <v>303</v>
      </c>
      <c r="U36" s="30">
        <f t="shared" si="3"/>
        <v>91</v>
      </c>
      <c r="V36" s="27">
        <v>100</v>
      </c>
      <c r="W36" s="27">
        <v>0</v>
      </c>
      <c r="X36" s="27">
        <v>0</v>
      </c>
      <c r="Y36" s="31">
        <v>-9</v>
      </c>
      <c r="Z36" s="559">
        <f t="shared" si="5"/>
        <v>105.02207505518764</v>
      </c>
      <c r="AA36" s="577">
        <f t="shared" si="6"/>
        <v>106.66666666666667</v>
      </c>
      <c r="AB36" s="577" t="str">
        <f t="shared" si="7"/>
        <v xml:space="preserve"> </v>
      </c>
      <c r="AC36" s="577" t="str">
        <f t="shared" si="8"/>
        <v xml:space="preserve"> </v>
      </c>
      <c r="AD36" s="562">
        <f t="shared" si="9"/>
        <v>97.115384615384613</v>
      </c>
    </row>
    <row r="37" spans="2:30" ht="15" thickBot="1" x14ac:dyDescent="0.25">
      <c r="B37" s="339" t="s">
        <v>417</v>
      </c>
      <c r="C37" s="338" t="s">
        <v>498</v>
      </c>
      <c r="D37" s="394" t="s">
        <v>381</v>
      </c>
      <c r="E37" s="35" t="s">
        <v>416</v>
      </c>
      <c r="F37" s="30">
        <f t="shared" si="0"/>
        <v>676</v>
      </c>
      <c r="G37" s="27">
        <v>600</v>
      </c>
      <c r="H37" s="27">
        <v>0</v>
      </c>
      <c r="I37" s="27">
        <v>0</v>
      </c>
      <c r="J37" s="27">
        <v>76</v>
      </c>
      <c r="K37" s="30">
        <f t="shared" si="1"/>
        <v>676</v>
      </c>
      <c r="L37" s="27">
        <v>600</v>
      </c>
      <c r="M37" s="27">
        <v>0</v>
      </c>
      <c r="N37" s="27">
        <v>0</v>
      </c>
      <c r="O37" s="27">
        <v>76</v>
      </c>
      <c r="P37" s="30">
        <f t="shared" si="2"/>
        <v>685</v>
      </c>
      <c r="Q37" s="27">
        <v>600</v>
      </c>
      <c r="R37" s="27">
        <v>0</v>
      </c>
      <c r="S37" s="27">
        <v>0</v>
      </c>
      <c r="T37" s="27">
        <v>85</v>
      </c>
      <c r="U37" s="30">
        <f t="shared" si="3"/>
        <v>9</v>
      </c>
      <c r="V37" s="27">
        <v>0</v>
      </c>
      <c r="W37" s="27">
        <v>0</v>
      </c>
      <c r="X37" s="27">
        <v>0</v>
      </c>
      <c r="Y37" s="31">
        <v>9</v>
      </c>
      <c r="Z37" s="559">
        <f t="shared" si="5"/>
        <v>101.33136094674555</v>
      </c>
      <c r="AA37" s="577">
        <f t="shared" si="6"/>
        <v>100</v>
      </c>
      <c r="AB37" s="577" t="str">
        <f t="shared" si="7"/>
        <v xml:space="preserve"> </v>
      </c>
      <c r="AC37" s="577" t="str">
        <f t="shared" si="8"/>
        <v xml:space="preserve"> </v>
      </c>
      <c r="AD37" s="562">
        <f t="shared" si="9"/>
        <v>111.8421052631579</v>
      </c>
    </row>
    <row r="38" spans="2:30" ht="15" thickBot="1" x14ac:dyDescent="0.25">
      <c r="B38" s="339" t="s">
        <v>417</v>
      </c>
      <c r="C38" s="338" t="s">
        <v>505</v>
      </c>
      <c r="D38" s="394" t="s">
        <v>381</v>
      </c>
      <c r="E38" s="35" t="s">
        <v>416</v>
      </c>
      <c r="F38" s="30">
        <f t="shared" si="0"/>
        <v>748</v>
      </c>
      <c r="G38" s="27">
        <v>600</v>
      </c>
      <c r="H38" s="27">
        <v>0</v>
      </c>
      <c r="I38" s="27">
        <v>0</v>
      </c>
      <c r="J38" s="27">
        <v>148</v>
      </c>
      <c r="K38" s="30">
        <f t="shared" si="1"/>
        <v>748</v>
      </c>
      <c r="L38" s="27">
        <v>600</v>
      </c>
      <c r="M38" s="27">
        <v>0</v>
      </c>
      <c r="N38" s="27">
        <v>0</v>
      </c>
      <c r="O38" s="27">
        <v>148</v>
      </c>
      <c r="P38" s="30">
        <f t="shared" si="2"/>
        <v>547</v>
      </c>
      <c r="Q38" s="27">
        <v>400</v>
      </c>
      <c r="R38" s="27">
        <v>0</v>
      </c>
      <c r="S38" s="27">
        <v>0</v>
      </c>
      <c r="T38" s="27">
        <v>147</v>
      </c>
      <c r="U38" s="30">
        <f t="shared" si="3"/>
        <v>-201</v>
      </c>
      <c r="V38" s="27">
        <v>-200</v>
      </c>
      <c r="W38" s="27">
        <v>0</v>
      </c>
      <c r="X38" s="27">
        <v>0</v>
      </c>
      <c r="Y38" s="31">
        <v>-1</v>
      </c>
      <c r="Z38" s="559">
        <f t="shared" si="5"/>
        <v>73.128342245989302</v>
      </c>
      <c r="AA38" s="577">
        <f t="shared" si="6"/>
        <v>66.666666666666657</v>
      </c>
      <c r="AB38" s="577" t="str">
        <f t="shared" si="7"/>
        <v xml:space="preserve"> </v>
      </c>
      <c r="AC38" s="577" t="str">
        <f t="shared" si="8"/>
        <v xml:space="preserve"> </v>
      </c>
      <c r="AD38" s="562">
        <f t="shared" si="9"/>
        <v>99.324324324324323</v>
      </c>
    </row>
    <row r="39" spans="2:30" ht="15.75" thickBot="1" x14ac:dyDescent="0.25">
      <c r="B39" s="336" t="s">
        <v>417</v>
      </c>
      <c r="C39" s="335"/>
      <c r="D39" s="393" t="s">
        <v>381</v>
      </c>
      <c r="E39" s="333" t="s">
        <v>416</v>
      </c>
      <c r="F39" s="34">
        <f t="shared" si="0"/>
        <v>6064</v>
      </c>
      <c r="G39" s="331">
        <f>SUM(G35:G38)</f>
        <v>4940</v>
      </c>
      <c r="H39" s="331">
        <f>SUM(H35:H38)</f>
        <v>0</v>
      </c>
      <c r="I39" s="331">
        <f>SUM(I35:I38)</f>
        <v>0</v>
      </c>
      <c r="J39" s="331">
        <f>SUM(J35:J38)</f>
        <v>1124</v>
      </c>
      <c r="K39" s="34">
        <f t="shared" si="1"/>
        <v>6064</v>
      </c>
      <c r="L39" s="331">
        <f>SUM(L35:L38)</f>
        <v>4886</v>
      </c>
      <c r="M39" s="331">
        <f>SUM(M35:M38)</f>
        <v>54</v>
      </c>
      <c r="N39" s="331">
        <f>SUM(N35:N38)</f>
        <v>0</v>
      </c>
      <c r="O39" s="331">
        <f>SUM(O35:O38)</f>
        <v>1124</v>
      </c>
      <c r="P39" s="34">
        <f t="shared" si="2"/>
        <v>5851</v>
      </c>
      <c r="Q39" s="331">
        <f>SUM(Q35:Q38)</f>
        <v>4693</v>
      </c>
      <c r="R39" s="331">
        <f>SUM(R35:R38)</f>
        <v>0</v>
      </c>
      <c r="S39" s="331">
        <f>SUM(S35:S38)</f>
        <v>0</v>
      </c>
      <c r="T39" s="331">
        <f>SUM(T35:T38)</f>
        <v>1158</v>
      </c>
      <c r="U39" s="34">
        <f t="shared" si="3"/>
        <v>-213</v>
      </c>
      <c r="V39" s="331">
        <f>SUM(V35:V38)</f>
        <v>-247</v>
      </c>
      <c r="W39" s="331">
        <f>SUM(W35:W38)</f>
        <v>0</v>
      </c>
      <c r="X39" s="331">
        <f>SUM(X35:X38)</f>
        <v>0</v>
      </c>
      <c r="Y39" s="330">
        <f>SUM(Y35:Y38)</f>
        <v>34</v>
      </c>
      <c r="Z39" s="564">
        <f t="shared" si="5"/>
        <v>96.487467018469658</v>
      </c>
      <c r="AA39" s="578">
        <f t="shared" si="6"/>
        <v>95</v>
      </c>
      <c r="AB39" s="578" t="str">
        <f t="shared" si="7"/>
        <v xml:space="preserve"> </v>
      </c>
      <c r="AC39" s="578" t="str">
        <f t="shared" si="8"/>
        <v xml:space="preserve"> </v>
      </c>
      <c r="AD39" s="579">
        <f t="shared" si="9"/>
        <v>103.02491103202847</v>
      </c>
    </row>
    <row r="40" spans="2:30" ht="15" thickBot="1" x14ac:dyDescent="0.25">
      <c r="B40" s="339" t="s">
        <v>415</v>
      </c>
      <c r="C40" s="338" t="s">
        <v>511</v>
      </c>
      <c r="D40" s="394" t="s">
        <v>381</v>
      </c>
      <c r="E40" s="35" t="s">
        <v>545</v>
      </c>
      <c r="F40" s="30">
        <f t="shared" si="0"/>
        <v>2985</v>
      </c>
      <c r="G40" s="27">
        <v>2525</v>
      </c>
      <c r="H40" s="27">
        <v>0</v>
      </c>
      <c r="I40" s="27">
        <v>0</v>
      </c>
      <c r="J40" s="27">
        <v>460</v>
      </c>
      <c r="K40" s="30">
        <f t="shared" si="1"/>
        <v>2985</v>
      </c>
      <c r="L40" s="27">
        <v>2525</v>
      </c>
      <c r="M40" s="27">
        <v>0</v>
      </c>
      <c r="N40" s="27">
        <v>0</v>
      </c>
      <c r="O40" s="27">
        <v>460</v>
      </c>
      <c r="P40" s="30">
        <f t="shared" si="2"/>
        <v>2799</v>
      </c>
      <c r="Q40" s="27">
        <v>2399</v>
      </c>
      <c r="R40" s="27">
        <v>0</v>
      </c>
      <c r="S40" s="27">
        <v>0</v>
      </c>
      <c r="T40" s="27">
        <v>400</v>
      </c>
      <c r="U40" s="30">
        <f t="shared" si="3"/>
        <v>-186</v>
      </c>
      <c r="V40" s="27">
        <v>-126</v>
      </c>
      <c r="W40" s="27">
        <v>0</v>
      </c>
      <c r="X40" s="27">
        <v>0</v>
      </c>
      <c r="Y40" s="31">
        <v>-60</v>
      </c>
      <c r="Z40" s="559">
        <f t="shared" si="5"/>
        <v>93.768844221105525</v>
      </c>
      <c r="AA40" s="577">
        <f t="shared" si="6"/>
        <v>95.009900990098998</v>
      </c>
      <c r="AB40" s="577" t="str">
        <f t="shared" si="7"/>
        <v xml:space="preserve"> </v>
      </c>
      <c r="AC40" s="577" t="str">
        <f t="shared" si="8"/>
        <v xml:space="preserve"> </v>
      </c>
      <c r="AD40" s="562">
        <f t="shared" si="9"/>
        <v>86.956521739130437</v>
      </c>
    </row>
    <row r="41" spans="2:30" ht="26.25" thickBot="1" x14ac:dyDescent="0.25">
      <c r="B41" s="336" t="s">
        <v>415</v>
      </c>
      <c r="C41" s="335"/>
      <c r="D41" s="393" t="s">
        <v>381</v>
      </c>
      <c r="E41" s="333" t="s">
        <v>545</v>
      </c>
      <c r="F41" s="34">
        <f t="shared" si="0"/>
        <v>2985</v>
      </c>
      <c r="G41" s="331">
        <f>G40</f>
        <v>2525</v>
      </c>
      <c r="H41" s="331">
        <f>H40</f>
        <v>0</v>
      </c>
      <c r="I41" s="331">
        <f>I40</f>
        <v>0</v>
      </c>
      <c r="J41" s="331">
        <f>J40</f>
        <v>460</v>
      </c>
      <c r="K41" s="30">
        <f t="shared" si="1"/>
        <v>2985</v>
      </c>
      <c r="L41" s="331">
        <f>L40</f>
        <v>2525</v>
      </c>
      <c r="M41" s="331">
        <f>M40</f>
        <v>0</v>
      </c>
      <c r="N41" s="331">
        <f>N40</f>
        <v>0</v>
      </c>
      <c r="O41" s="331">
        <f>O40</f>
        <v>460</v>
      </c>
      <c r="P41" s="34">
        <f t="shared" si="2"/>
        <v>2799</v>
      </c>
      <c r="Q41" s="331">
        <f>Q40</f>
        <v>2399</v>
      </c>
      <c r="R41" s="331">
        <f>R40</f>
        <v>0</v>
      </c>
      <c r="S41" s="331">
        <f>S40</f>
        <v>0</v>
      </c>
      <c r="T41" s="331">
        <f>T40</f>
        <v>400</v>
      </c>
      <c r="U41" s="34">
        <f t="shared" si="3"/>
        <v>-186</v>
      </c>
      <c r="V41" s="331">
        <f>V40</f>
        <v>-126</v>
      </c>
      <c r="W41" s="331">
        <f>W40</f>
        <v>0</v>
      </c>
      <c r="X41" s="331">
        <f>X40</f>
        <v>0</v>
      </c>
      <c r="Y41" s="330">
        <f>Y40</f>
        <v>-60</v>
      </c>
      <c r="Z41" s="564">
        <f t="shared" si="5"/>
        <v>93.768844221105525</v>
      </c>
      <c r="AA41" s="578">
        <f t="shared" si="6"/>
        <v>95.009900990098998</v>
      </c>
      <c r="AB41" s="578" t="str">
        <f t="shared" si="7"/>
        <v xml:space="preserve"> </v>
      </c>
      <c r="AC41" s="578" t="str">
        <f t="shared" si="8"/>
        <v xml:space="preserve"> </v>
      </c>
      <c r="AD41" s="579">
        <f t="shared" si="9"/>
        <v>86.956521739130437</v>
      </c>
    </row>
    <row r="42" spans="2:30" ht="15" thickBot="1" x14ac:dyDescent="0.25">
      <c r="B42" s="339" t="s">
        <v>414</v>
      </c>
      <c r="C42" s="338" t="s">
        <v>511</v>
      </c>
      <c r="D42" s="394" t="s">
        <v>381</v>
      </c>
      <c r="E42" s="35" t="s">
        <v>413</v>
      </c>
      <c r="F42" s="30">
        <f t="shared" si="0"/>
        <v>2458</v>
      </c>
      <c r="G42" s="27">
        <v>1960</v>
      </c>
      <c r="H42" s="27">
        <v>0</v>
      </c>
      <c r="I42" s="27">
        <v>0</v>
      </c>
      <c r="J42" s="27">
        <v>498</v>
      </c>
      <c r="K42" s="30">
        <f t="shared" si="1"/>
        <v>2458</v>
      </c>
      <c r="L42" s="27">
        <v>1960</v>
      </c>
      <c r="M42" s="27">
        <v>0</v>
      </c>
      <c r="N42" s="27">
        <v>0</v>
      </c>
      <c r="O42" s="27">
        <v>498</v>
      </c>
      <c r="P42" s="30">
        <f t="shared" si="2"/>
        <v>2565</v>
      </c>
      <c r="Q42" s="27">
        <v>1849</v>
      </c>
      <c r="R42" s="27">
        <v>0</v>
      </c>
      <c r="S42" s="27">
        <v>0</v>
      </c>
      <c r="T42" s="27">
        <v>716</v>
      </c>
      <c r="U42" s="30">
        <v>107</v>
      </c>
      <c r="V42" s="27">
        <v>-111</v>
      </c>
      <c r="W42" s="27">
        <v>0</v>
      </c>
      <c r="X42" s="27">
        <v>0</v>
      </c>
      <c r="Y42" s="31">
        <v>218</v>
      </c>
      <c r="Z42" s="559">
        <f t="shared" si="5"/>
        <v>104.35313262815298</v>
      </c>
      <c r="AA42" s="577">
        <f t="shared" si="6"/>
        <v>94.33673469387756</v>
      </c>
      <c r="AB42" s="577" t="str">
        <f t="shared" si="7"/>
        <v xml:space="preserve"> </v>
      </c>
      <c r="AC42" s="577" t="str">
        <f t="shared" si="8"/>
        <v xml:space="preserve"> </v>
      </c>
      <c r="AD42" s="562">
        <f t="shared" si="9"/>
        <v>143.77510040160641</v>
      </c>
    </row>
    <row r="43" spans="2:30" ht="15" thickBot="1" x14ac:dyDescent="0.25">
      <c r="B43" s="339" t="s">
        <v>414</v>
      </c>
      <c r="C43" s="338" t="s">
        <v>498</v>
      </c>
      <c r="D43" s="394" t="s">
        <v>381</v>
      </c>
      <c r="E43" s="35" t="s">
        <v>413</v>
      </c>
      <c r="F43" s="30">
        <f t="shared" si="0"/>
        <v>260</v>
      </c>
      <c r="G43" s="27">
        <v>260</v>
      </c>
      <c r="H43" s="27">
        <v>0</v>
      </c>
      <c r="I43" s="27">
        <v>0</v>
      </c>
      <c r="J43" s="27">
        <v>0</v>
      </c>
      <c r="K43" s="30">
        <f t="shared" si="1"/>
        <v>260</v>
      </c>
      <c r="L43" s="27">
        <v>260</v>
      </c>
      <c r="M43" s="27">
        <v>0</v>
      </c>
      <c r="N43" s="27">
        <v>0</v>
      </c>
      <c r="O43" s="27">
        <v>0</v>
      </c>
      <c r="P43" s="30">
        <f t="shared" si="2"/>
        <v>260</v>
      </c>
      <c r="Q43" s="27">
        <v>260</v>
      </c>
      <c r="R43" s="27">
        <v>0</v>
      </c>
      <c r="S43" s="27">
        <v>0</v>
      </c>
      <c r="T43" s="27">
        <v>0</v>
      </c>
      <c r="U43" s="30">
        <f t="shared" si="3"/>
        <v>0</v>
      </c>
      <c r="V43" s="27">
        <v>0</v>
      </c>
      <c r="W43" s="27">
        <v>0</v>
      </c>
      <c r="X43" s="27">
        <v>0</v>
      </c>
      <c r="Y43" s="31">
        <v>0</v>
      </c>
      <c r="Z43" s="559">
        <f t="shared" si="5"/>
        <v>100</v>
      </c>
      <c r="AA43" s="577">
        <f t="shared" si="6"/>
        <v>100</v>
      </c>
      <c r="AB43" s="577" t="str">
        <f t="shared" si="7"/>
        <v xml:space="preserve"> </v>
      </c>
      <c r="AC43" s="577" t="str">
        <f t="shared" si="8"/>
        <v xml:space="preserve"> </v>
      </c>
      <c r="AD43" s="562" t="str">
        <f t="shared" si="9"/>
        <v xml:space="preserve"> </v>
      </c>
    </row>
    <row r="44" spans="2:30" ht="15.75" thickBot="1" x14ac:dyDescent="0.25">
      <c r="B44" s="336" t="s">
        <v>414</v>
      </c>
      <c r="C44" s="335"/>
      <c r="D44" s="393" t="s">
        <v>381</v>
      </c>
      <c r="E44" s="333" t="s">
        <v>413</v>
      </c>
      <c r="F44" s="34">
        <f t="shared" si="0"/>
        <v>2718</v>
      </c>
      <c r="G44" s="331">
        <f>SUM(G42:G43)</f>
        <v>2220</v>
      </c>
      <c r="H44" s="331">
        <f>SUM(H42:H43)</f>
        <v>0</v>
      </c>
      <c r="I44" s="331">
        <f>SUM(I42:I43)</f>
        <v>0</v>
      </c>
      <c r="J44" s="331">
        <f>SUM(J42:J43)</f>
        <v>498</v>
      </c>
      <c r="K44" s="34">
        <f t="shared" si="1"/>
        <v>2718</v>
      </c>
      <c r="L44" s="331">
        <f>SUM(L42:L43)</f>
        <v>2220</v>
      </c>
      <c r="M44" s="331">
        <f>SUM(M42:M43)</f>
        <v>0</v>
      </c>
      <c r="N44" s="331">
        <f>SUM(N42:N43)</f>
        <v>0</v>
      </c>
      <c r="O44" s="331">
        <f>SUM(O42:O43)</f>
        <v>498</v>
      </c>
      <c r="P44" s="34">
        <f t="shared" si="2"/>
        <v>2825</v>
      </c>
      <c r="Q44" s="331">
        <f>SUM(Q42:Q43)</f>
        <v>2109</v>
      </c>
      <c r="R44" s="331">
        <f>SUM(R42:R43)</f>
        <v>0</v>
      </c>
      <c r="S44" s="331">
        <f>SUM(S42:S43)</f>
        <v>0</v>
      </c>
      <c r="T44" s="331">
        <f>SUM(T42:T43)</f>
        <v>716</v>
      </c>
      <c r="U44" s="34">
        <f t="shared" si="3"/>
        <v>107</v>
      </c>
      <c r="V44" s="331">
        <f>SUM(V42:V43)</f>
        <v>-111</v>
      </c>
      <c r="W44" s="331">
        <f>SUM(W42:W43)</f>
        <v>0</v>
      </c>
      <c r="X44" s="331">
        <f>SUM(X42:X43)</f>
        <v>0</v>
      </c>
      <c r="Y44" s="330">
        <f>SUM(Y42:Y43)</f>
        <v>218</v>
      </c>
      <c r="Z44" s="564">
        <f t="shared" si="5"/>
        <v>103.93671817512877</v>
      </c>
      <c r="AA44" s="578">
        <f t="shared" si="6"/>
        <v>95</v>
      </c>
      <c r="AB44" s="578" t="str">
        <f t="shared" si="7"/>
        <v xml:space="preserve"> </v>
      </c>
      <c r="AC44" s="578" t="str">
        <f t="shared" si="8"/>
        <v xml:space="preserve"> </v>
      </c>
      <c r="AD44" s="579">
        <f t="shared" si="9"/>
        <v>143.77510040160641</v>
      </c>
    </row>
    <row r="45" spans="2:30" ht="15" thickBot="1" x14ac:dyDescent="0.25">
      <c r="B45" s="339" t="s">
        <v>412</v>
      </c>
      <c r="C45" s="338" t="s">
        <v>506</v>
      </c>
      <c r="D45" s="394" t="s">
        <v>381</v>
      </c>
      <c r="E45" s="35" t="s">
        <v>411</v>
      </c>
      <c r="F45" s="30">
        <f t="shared" si="0"/>
        <v>6039</v>
      </c>
      <c r="G45" s="27">
        <v>4932</v>
      </c>
      <c r="H45" s="27">
        <v>0</v>
      </c>
      <c r="I45" s="27">
        <v>0</v>
      </c>
      <c r="J45" s="27">
        <v>1107</v>
      </c>
      <c r="K45" s="30">
        <f t="shared" si="1"/>
        <v>6039</v>
      </c>
      <c r="L45" s="27">
        <v>4932</v>
      </c>
      <c r="M45" s="27">
        <v>0</v>
      </c>
      <c r="N45" s="27">
        <v>0</v>
      </c>
      <c r="O45" s="27">
        <v>1107</v>
      </c>
      <c r="P45" s="30">
        <f t="shared" si="2"/>
        <v>5779</v>
      </c>
      <c r="Q45" s="27">
        <v>4685</v>
      </c>
      <c r="R45" s="27">
        <v>0</v>
      </c>
      <c r="S45" s="27">
        <v>0</v>
      </c>
      <c r="T45" s="27">
        <v>1094</v>
      </c>
      <c r="U45" s="30">
        <f t="shared" si="3"/>
        <v>-260</v>
      </c>
      <c r="V45" s="27">
        <v>-247</v>
      </c>
      <c r="W45" s="27">
        <v>0</v>
      </c>
      <c r="X45" s="27">
        <v>0</v>
      </c>
      <c r="Y45" s="31">
        <v>-13</v>
      </c>
      <c r="Z45" s="559">
        <f t="shared" si="5"/>
        <v>95.694651432356352</v>
      </c>
      <c r="AA45" s="577">
        <f t="shared" si="6"/>
        <v>94.9918896999189</v>
      </c>
      <c r="AB45" s="577" t="str">
        <f t="shared" si="7"/>
        <v xml:space="preserve"> </v>
      </c>
      <c r="AC45" s="577" t="str">
        <f t="shared" si="8"/>
        <v xml:space="preserve"> </v>
      </c>
      <c r="AD45" s="562">
        <f t="shared" si="9"/>
        <v>98.825654923215893</v>
      </c>
    </row>
    <row r="46" spans="2:30" ht="15.75" thickBot="1" x14ac:dyDescent="0.25">
      <c r="B46" s="336" t="s">
        <v>412</v>
      </c>
      <c r="C46" s="335"/>
      <c r="D46" s="393" t="s">
        <v>381</v>
      </c>
      <c r="E46" s="333" t="s">
        <v>411</v>
      </c>
      <c r="F46" s="34">
        <f t="shared" ref="F46:F77" si="10">SUM(G46:J46)</f>
        <v>6039</v>
      </c>
      <c r="G46" s="331">
        <f>SUM(G45)</f>
        <v>4932</v>
      </c>
      <c r="H46" s="331">
        <f>SUM(H45)</f>
        <v>0</v>
      </c>
      <c r="I46" s="331">
        <f>SUM(I45)</f>
        <v>0</v>
      </c>
      <c r="J46" s="331">
        <f>SUM(J45)</f>
        <v>1107</v>
      </c>
      <c r="K46" s="34">
        <f t="shared" ref="K46:K77" si="11">SUM(L46:O46)</f>
        <v>6039</v>
      </c>
      <c r="L46" s="331">
        <f>SUM(L45)</f>
        <v>4932</v>
      </c>
      <c r="M46" s="331">
        <f>SUM(M45)</f>
        <v>0</v>
      </c>
      <c r="N46" s="331">
        <f>SUM(N45)</f>
        <v>0</v>
      </c>
      <c r="O46" s="331">
        <f>SUM(O45)</f>
        <v>1107</v>
      </c>
      <c r="P46" s="34">
        <f t="shared" ref="P46:P77" si="12">SUM(Q46:T46)</f>
        <v>5779</v>
      </c>
      <c r="Q46" s="331">
        <f>SUM(Q45)</f>
        <v>4685</v>
      </c>
      <c r="R46" s="331">
        <f>SUM(R45)</f>
        <v>0</v>
      </c>
      <c r="S46" s="331">
        <f>SUM(S45)</f>
        <v>0</v>
      </c>
      <c r="T46" s="331">
        <f>SUM(T45)</f>
        <v>1094</v>
      </c>
      <c r="U46" s="34">
        <f t="shared" ref="U46:U77" si="13">SUM(V46:Y46)</f>
        <v>-260</v>
      </c>
      <c r="V46" s="331">
        <f>SUM(V45)</f>
        <v>-247</v>
      </c>
      <c r="W46" s="331">
        <f>SUM(W45)</f>
        <v>0</v>
      </c>
      <c r="X46" s="331">
        <f>SUM(X45)</f>
        <v>0</v>
      </c>
      <c r="Y46" s="330">
        <f>SUM(Y45)</f>
        <v>-13</v>
      </c>
      <c r="Z46" s="564">
        <f t="shared" si="5"/>
        <v>95.694651432356352</v>
      </c>
      <c r="AA46" s="578">
        <f t="shared" si="6"/>
        <v>94.9918896999189</v>
      </c>
      <c r="AB46" s="578" t="str">
        <f t="shared" si="7"/>
        <v xml:space="preserve"> </v>
      </c>
      <c r="AC46" s="578" t="str">
        <f t="shared" si="8"/>
        <v xml:space="preserve"> </v>
      </c>
      <c r="AD46" s="579">
        <f t="shared" si="9"/>
        <v>98.825654923215893</v>
      </c>
    </row>
    <row r="47" spans="2:30" ht="15" thickBot="1" x14ac:dyDescent="0.25">
      <c r="B47" s="339" t="s">
        <v>410</v>
      </c>
      <c r="C47" s="338" t="s">
        <v>511</v>
      </c>
      <c r="D47" s="394" t="s">
        <v>381</v>
      </c>
      <c r="E47" s="35" t="s">
        <v>409</v>
      </c>
      <c r="F47" s="30">
        <f t="shared" si="10"/>
        <v>3170</v>
      </c>
      <c r="G47" s="27">
        <v>2756</v>
      </c>
      <c r="H47" s="27">
        <v>0</v>
      </c>
      <c r="I47" s="27">
        <v>0</v>
      </c>
      <c r="J47" s="27">
        <v>414</v>
      </c>
      <c r="K47" s="30">
        <f t="shared" si="11"/>
        <v>3170</v>
      </c>
      <c r="L47" s="27">
        <v>2756</v>
      </c>
      <c r="M47" s="27">
        <v>0</v>
      </c>
      <c r="N47" s="27">
        <v>0</v>
      </c>
      <c r="O47" s="27">
        <v>414</v>
      </c>
      <c r="P47" s="30">
        <f t="shared" si="12"/>
        <v>3026</v>
      </c>
      <c r="Q47" s="27">
        <v>2618</v>
      </c>
      <c r="R47" s="27">
        <v>0</v>
      </c>
      <c r="S47" s="27">
        <v>0</v>
      </c>
      <c r="T47" s="27">
        <v>408</v>
      </c>
      <c r="U47" s="30">
        <f t="shared" si="13"/>
        <v>-144</v>
      </c>
      <c r="V47" s="27">
        <v>-138</v>
      </c>
      <c r="W47" s="27">
        <v>0</v>
      </c>
      <c r="X47" s="27">
        <v>0</v>
      </c>
      <c r="Y47" s="31">
        <v>-6</v>
      </c>
      <c r="Z47" s="559">
        <f t="shared" si="5"/>
        <v>95.457413249211356</v>
      </c>
      <c r="AA47" s="577">
        <f t="shared" si="6"/>
        <v>94.992743105950652</v>
      </c>
      <c r="AB47" s="577" t="str">
        <f t="shared" si="7"/>
        <v xml:space="preserve"> </v>
      </c>
      <c r="AC47" s="577" t="str">
        <f t="shared" si="8"/>
        <v xml:space="preserve"> </v>
      </c>
      <c r="AD47" s="562">
        <f t="shared" si="9"/>
        <v>98.550724637681171</v>
      </c>
    </row>
    <row r="48" spans="2:30" ht="15" thickBot="1" x14ac:dyDescent="0.25">
      <c r="B48" s="339" t="s">
        <v>410</v>
      </c>
      <c r="C48" s="338" t="s">
        <v>544</v>
      </c>
      <c r="D48" s="394" t="s">
        <v>381</v>
      </c>
      <c r="E48" s="35" t="s">
        <v>409</v>
      </c>
      <c r="F48" s="30">
        <f t="shared" si="10"/>
        <v>292</v>
      </c>
      <c r="G48" s="27">
        <v>145</v>
      </c>
      <c r="H48" s="27">
        <v>0</v>
      </c>
      <c r="I48" s="27">
        <v>0</v>
      </c>
      <c r="J48" s="27">
        <v>147</v>
      </c>
      <c r="K48" s="30">
        <f t="shared" si="11"/>
        <v>292</v>
      </c>
      <c r="L48" s="27">
        <v>145</v>
      </c>
      <c r="M48" s="27">
        <v>0</v>
      </c>
      <c r="N48" s="27">
        <v>0</v>
      </c>
      <c r="O48" s="27">
        <v>147</v>
      </c>
      <c r="P48" s="30">
        <f t="shared" si="12"/>
        <v>252</v>
      </c>
      <c r="Q48" s="27">
        <v>138</v>
      </c>
      <c r="R48" s="27">
        <v>0</v>
      </c>
      <c r="S48" s="27">
        <v>0</v>
      </c>
      <c r="T48" s="27">
        <v>114</v>
      </c>
      <c r="U48" s="30">
        <f t="shared" si="13"/>
        <v>-40</v>
      </c>
      <c r="V48" s="27">
        <v>-7</v>
      </c>
      <c r="W48" s="27">
        <v>0</v>
      </c>
      <c r="X48" s="27">
        <v>0</v>
      </c>
      <c r="Y48" s="31">
        <v>-33</v>
      </c>
      <c r="Z48" s="559">
        <f t="shared" si="5"/>
        <v>86.301369863013704</v>
      </c>
      <c r="AA48" s="577">
        <f t="shared" si="6"/>
        <v>95.172413793103445</v>
      </c>
      <c r="AB48" s="577" t="str">
        <f t="shared" si="7"/>
        <v xml:space="preserve"> </v>
      </c>
      <c r="AC48" s="577" t="str">
        <f t="shared" si="8"/>
        <v xml:space="preserve"> </v>
      </c>
      <c r="AD48" s="562">
        <f t="shared" si="9"/>
        <v>77.551020408163268</v>
      </c>
    </row>
    <row r="49" spans="2:30" ht="15" thickBot="1" x14ac:dyDescent="0.25">
      <c r="B49" s="339" t="s">
        <v>410</v>
      </c>
      <c r="C49" s="338" t="s">
        <v>498</v>
      </c>
      <c r="D49" s="394" t="s">
        <v>381</v>
      </c>
      <c r="E49" s="35" t="s">
        <v>409</v>
      </c>
      <c r="F49" s="30">
        <f t="shared" si="10"/>
        <v>1031</v>
      </c>
      <c r="G49" s="27">
        <v>656</v>
      </c>
      <c r="H49" s="27">
        <v>0</v>
      </c>
      <c r="I49" s="27">
        <v>0</v>
      </c>
      <c r="J49" s="27">
        <v>375</v>
      </c>
      <c r="K49" s="30">
        <f t="shared" si="11"/>
        <v>1031</v>
      </c>
      <c r="L49" s="27">
        <v>656</v>
      </c>
      <c r="M49" s="27">
        <v>0</v>
      </c>
      <c r="N49" s="27">
        <v>0</v>
      </c>
      <c r="O49" s="27">
        <v>375</v>
      </c>
      <c r="P49" s="30">
        <f t="shared" si="12"/>
        <v>995</v>
      </c>
      <c r="Q49" s="27">
        <v>623</v>
      </c>
      <c r="R49" s="27">
        <v>0</v>
      </c>
      <c r="S49" s="27">
        <v>0</v>
      </c>
      <c r="T49" s="27">
        <v>372</v>
      </c>
      <c r="U49" s="30">
        <f t="shared" si="13"/>
        <v>-36</v>
      </c>
      <c r="V49" s="27">
        <v>-33</v>
      </c>
      <c r="W49" s="27">
        <v>0</v>
      </c>
      <c r="X49" s="27">
        <v>0</v>
      </c>
      <c r="Y49" s="31">
        <v>-3</v>
      </c>
      <c r="Z49" s="559">
        <f t="shared" si="5"/>
        <v>96.5082444228904</v>
      </c>
      <c r="AA49" s="577">
        <f t="shared" si="6"/>
        <v>94.969512195121951</v>
      </c>
      <c r="AB49" s="577" t="str">
        <f t="shared" si="7"/>
        <v xml:space="preserve"> </v>
      </c>
      <c r="AC49" s="577" t="str">
        <f t="shared" si="8"/>
        <v xml:space="preserve"> </v>
      </c>
      <c r="AD49" s="562">
        <f t="shared" si="9"/>
        <v>99.2</v>
      </c>
    </row>
    <row r="50" spans="2:30" ht="15" thickBot="1" x14ac:dyDescent="0.25">
      <c r="B50" s="339" t="s">
        <v>410</v>
      </c>
      <c r="C50" s="338" t="s">
        <v>505</v>
      </c>
      <c r="D50" s="394" t="s">
        <v>381</v>
      </c>
      <c r="E50" s="35" t="s">
        <v>409</v>
      </c>
      <c r="F50" s="30">
        <f t="shared" si="10"/>
        <v>649</v>
      </c>
      <c r="G50" s="27">
        <v>427</v>
      </c>
      <c r="H50" s="27">
        <v>0</v>
      </c>
      <c r="I50" s="27">
        <v>0</v>
      </c>
      <c r="J50" s="27">
        <v>222</v>
      </c>
      <c r="K50" s="30">
        <f t="shared" si="11"/>
        <v>649</v>
      </c>
      <c r="L50" s="27">
        <v>427</v>
      </c>
      <c r="M50" s="27">
        <v>0</v>
      </c>
      <c r="N50" s="27">
        <v>0</v>
      </c>
      <c r="O50" s="27">
        <v>222</v>
      </c>
      <c r="P50" s="30">
        <f t="shared" si="12"/>
        <v>627</v>
      </c>
      <c r="Q50" s="27">
        <v>406</v>
      </c>
      <c r="R50" s="27">
        <v>0</v>
      </c>
      <c r="S50" s="27">
        <v>0</v>
      </c>
      <c r="T50" s="27">
        <v>221</v>
      </c>
      <c r="U50" s="30">
        <f t="shared" si="13"/>
        <v>-22</v>
      </c>
      <c r="V50" s="27">
        <v>-21</v>
      </c>
      <c r="W50" s="27">
        <v>0</v>
      </c>
      <c r="X50" s="27">
        <v>0</v>
      </c>
      <c r="Y50" s="31">
        <v>-1</v>
      </c>
      <c r="Z50" s="559">
        <f t="shared" si="5"/>
        <v>96.610169491525426</v>
      </c>
      <c r="AA50" s="577">
        <f t="shared" si="6"/>
        <v>95.081967213114751</v>
      </c>
      <c r="AB50" s="577" t="str">
        <f t="shared" si="7"/>
        <v xml:space="preserve"> </v>
      </c>
      <c r="AC50" s="577" t="str">
        <f t="shared" si="8"/>
        <v xml:space="preserve"> </v>
      </c>
      <c r="AD50" s="562">
        <f t="shared" si="9"/>
        <v>99.549549549549553</v>
      </c>
    </row>
    <row r="51" spans="2:30" ht="15.75" thickBot="1" x14ac:dyDescent="0.25">
      <c r="B51" s="336" t="s">
        <v>410</v>
      </c>
      <c r="C51" s="335"/>
      <c r="D51" s="393" t="s">
        <v>381</v>
      </c>
      <c r="E51" s="333" t="s">
        <v>409</v>
      </c>
      <c r="F51" s="34">
        <f t="shared" si="10"/>
        <v>5142</v>
      </c>
      <c r="G51" s="331">
        <f>SUM(G47:G50)</f>
        <v>3984</v>
      </c>
      <c r="H51" s="331">
        <f>SUM(H47:H50)</f>
        <v>0</v>
      </c>
      <c r="I51" s="331">
        <f>SUM(I47:I50)</f>
        <v>0</v>
      </c>
      <c r="J51" s="331">
        <f>SUM(J47:J50)</f>
        <v>1158</v>
      </c>
      <c r="K51" s="34">
        <f t="shared" si="11"/>
        <v>5142</v>
      </c>
      <c r="L51" s="331">
        <f>SUM(L47:L50)</f>
        <v>3984</v>
      </c>
      <c r="M51" s="331">
        <f>SUM(M47:M50)</f>
        <v>0</v>
      </c>
      <c r="N51" s="331">
        <f>SUM(N47:N50)</f>
        <v>0</v>
      </c>
      <c r="O51" s="331">
        <f>SUM(O47:O50)</f>
        <v>1158</v>
      </c>
      <c r="P51" s="34">
        <f t="shared" si="12"/>
        <v>4900</v>
      </c>
      <c r="Q51" s="331">
        <f>SUM(Q47:Q50)</f>
        <v>3785</v>
      </c>
      <c r="R51" s="331">
        <f>SUM(R47:R50)</f>
        <v>0</v>
      </c>
      <c r="S51" s="331">
        <f>SUM(S47:S50)</f>
        <v>0</v>
      </c>
      <c r="T51" s="331">
        <f>SUM(T47:T50)</f>
        <v>1115</v>
      </c>
      <c r="U51" s="34">
        <f t="shared" si="13"/>
        <v>-242</v>
      </c>
      <c r="V51" s="331">
        <f>SUM(V47:V50)</f>
        <v>-199</v>
      </c>
      <c r="W51" s="331">
        <f>SUM(W47:W50)</f>
        <v>0</v>
      </c>
      <c r="X51" s="331">
        <f>SUM(X47:X50)</f>
        <v>0</v>
      </c>
      <c r="Y51" s="330">
        <f>SUM(Y47:Y50)</f>
        <v>-43</v>
      </c>
      <c r="Z51" s="564">
        <f t="shared" si="5"/>
        <v>95.293660054453525</v>
      </c>
      <c r="AA51" s="578">
        <f t="shared" si="6"/>
        <v>95.005020080321287</v>
      </c>
      <c r="AB51" s="578" t="str">
        <f t="shared" si="7"/>
        <v xml:space="preserve"> </v>
      </c>
      <c r="AC51" s="578" t="str">
        <f t="shared" si="8"/>
        <v xml:space="preserve"> </v>
      </c>
      <c r="AD51" s="579">
        <f t="shared" si="9"/>
        <v>96.286701208981</v>
      </c>
    </row>
    <row r="52" spans="2:30" ht="15" thickBot="1" x14ac:dyDescent="0.25">
      <c r="B52" s="339" t="s">
        <v>408</v>
      </c>
      <c r="C52" s="338" t="s">
        <v>515</v>
      </c>
      <c r="D52" s="394" t="s">
        <v>381</v>
      </c>
      <c r="E52" s="35" t="s">
        <v>543</v>
      </c>
      <c r="F52" s="30">
        <f t="shared" si="10"/>
        <v>2115</v>
      </c>
      <c r="G52" s="27">
        <v>2000</v>
      </c>
      <c r="H52" s="27">
        <v>0</v>
      </c>
      <c r="I52" s="27">
        <v>0</v>
      </c>
      <c r="J52" s="27">
        <v>115</v>
      </c>
      <c r="K52" s="30">
        <f t="shared" si="11"/>
        <v>2115</v>
      </c>
      <c r="L52" s="27">
        <v>2000</v>
      </c>
      <c r="M52" s="27">
        <v>0</v>
      </c>
      <c r="N52" s="27">
        <v>0</v>
      </c>
      <c r="O52" s="27">
        <v>115</v>
      </c>
      <c r="P52" s="30">
        <f t="shared" si="12"/>
        <v>1909</v>
      </c>
      <c r="Q52" s="27">
        <v>1900</v>
      </c>
      <c r="R52" s="27">
        <v>0</v>
      </c>
      <c r="S52" s="27">
        <v>0</v>
      </c>
      <c r="T52" s="27">
        <v>9</v>
      </c>
      <c r="U52" s="30">
        <f t="shared" si="13"/>
        <v>-206</v>
      </c>
      <c r="V52" s="27">
        <v>-100</v>
      </c>
      <c r="W52" s="27">
        <v>0</v>
      </c>
      <c r="X52" s="27">
        <v>0</v>
      </c>
      <c r="Y52" s="31">
        <v>-106</v>
      </c>
      <c r="Z52" s="559">
        <f t="shared" si="5"/>
        <v>90.260047281323878</v>
      </c>
      <c r="AA52" s="577">
        <f t="shared" si="6"/>
        <v>95</v>
      </c>
      <c r="AB52" s="577" t="str">
        <f t="shared" si="7"/>
        <v xml:space="preserve"> </v>
      </c>
      <c r="AC52" s="577" t="str">
        <f t="shared" si="8"/>
        <v xml:space="preserve"> </v>
      </c>
      <c r="AD52" s="562">
        <f t="shared" si="9"/>
        <v>7.8260869565217401</v>
      </c>
    </row>
    <row r="53" spans="2:30" ht="15" thickBot="1" x14ac:dyDescent="0.25">
      <c r="B53" s="339" t="s">
        <v>408</v>
      </c>
      <c r="C53" s="338" t="s">
        <v>511</v>
      </c>
      <c r="D53" s="394" t="s">
        <v>381</v>
      </c>
      <c r="E53" s="35" t="s">
        <v>543</v>
      </c>
      <c r="F53" s="30">
        <f t="shared" si="10"/>
        <v>2764</v>
      </c>
      <c r="G53" s="27">
        <v>2130</v>
      </c>
      <c r="H53" s="27">
        <v>0</v>
      </c>
      <c r="I53" s="27">
        <v>0</v>
      </c>
      <c r="J53" s="27">
        <v>634</v>
      </c>
      <c r="K53" s="30">
        <f t="shared" si="11"/>
        <v>2764</v>
      </c>
      <c r="L53" s="27">
        <v>2130</v>
      </c>
      <c r="M53" s="27">
        <v>0</v>
      </c>
      <c r="N53" s="27">
        <v>0</v>
      </c>
      <c r="O53" s="27">
        <v>634</v>
      </c>
      <c r="P53" s="30">
        <f t="shared" si="12"/>
        <v>2651</v>
      </c>
      <c r="Q53" s="27">
        <v>2024</v>
      </c>
      <c r="R53" s="27">
        <v>0</v>
      </c>
      <c r="S53" s="27">
        <v>0</v>
      </c>
      <c r="T53" s="27">
        <v>627</v>
      </c>
      <c r="U53" s="30">
        <f t="shared" si="13"/>
        <v>-113</v>
      </c>
      <c r="V53" s="27">
        <v>-106</v>
      </c>
      <c r="W53" s="27">
        <v>0</v>
      </c>
      <c r="X53" s="27">
        <v>0</v>
      </c>
      <c r="Y53" s="31">
        <v>-7</v>
      </c>
      <c r="Z53" s="559">
        <f t="shared" si="5"/>
        <v>95.911722141823446</v>
      </c>
      <c r="AA53" s="577">
        <f t="shared" si="6"/>
        <v>95.02347417840376</v>
      </c>
      <c r="AB53" s="577" t="str">
        <f t="shared" si="7"/>
        <v xml:space="preserve"> </v>
      </c>
      <c r="AC53" s="577" t="str">
        <f t="shared" si="8"/>
        <v xml:space="preserve"> </v>
      </c>
      <c r="AD53" s="562">
        <f t="shared" si="9"/>
        <v>98.895899053627758</v>
      </c>
    </row>
    <row r="54" spans="2:30" ht="15" thickBot="1" x14ac:dyDescent="0.25">
      <c r="B54" s="339" t="s">
        <v>408</v>
      </c>
      <c r="C54" s="338" t="s">
        <v>498</v>
      </c>
      <c r="D54" s="394" t="s">
        <v>381</v>
      </c>
      <c r="E54" s="35" t="s">
        <v>543</v>
      </c>
      <c r="F54" s="30">
        <f t="shared" si="10"/>
        <v>348</v>
      </c>
      <c r="G54" s="27">
        <v>300</v>
      </c>
      <c r="H54" s="27">
        <v>0</v>
      </c>
      <c r="I54" s="27">
        <v>0</v>
      </c>
      <c r="J54" s="27">
        <v>48</v>
      </c>
      <c r="K54" s="30">
        <f t="shared" si="11"/>
        <v>348</v>
      </c>
      <c r="L54" s="27">
        <v>300</v>
      </c>
      <c r="M54" s="27">
        <v>0</v>
      </c>
      <c r="N54" s="27">
        <v>0</v>
      </c>
      <c r="O54" s="27">
        <v>48</v>
      </c>
      <c r="P54" s="30">
        <f t="shared" si="12"/>
        <v>333</v>
      </c>
      <c r="Q54" s="27">
        <v>285</v>
      </c>
      <c r="R54" s="27">
        <v>0</v>
      </c>
      <c r="S54" s="27">
        <v>0</v>
      </c>
      <c r="T54" s="27">
        <v>48</v>
      </c>
      <c r="U54" s="30">
        <f t="shared" si="13"/>
        <v>-15</v>
      </c>
      <c r="V54" s="27">
        <v>-15</v>
      </c>
      <c r="W54" s="27">
        <v>0</v>
      </c>
      <c r="X54" s="27">
        <v>0</v>
      </c>
      <c r="Y54" s="31">
        <v>0</v>
      </c>
      <c r="Z54" s="559">
        <f t="shared" si="5"/>
        <v>95.689655172413794</v>
      </c>
      <c r="AA54" s="577">
        <f t="shared" si="6"/>
        <v>95</v>
      </c>
      <c r="AB54" s="577" t="str">
        <f t="shared" si="7"/>
        <v xml:space="preserve"> </v>
      </c>
      <c r="AC54" s="577" t="str">
        <f t="shared" si="8"/>
        <v xml:space="preserve"> </v>
      </c>
      <c r="AD54" s="562">
        <f t="shared" si="9"/>
        <v>100</v>
      </c>
    </row>
    <row r="55" spans="2:30" ht="26.25" thickBot="1" x14ac:dyDescent="0.25">
      <c r="B55" s="336" t="s">
        <v>408</v>
      </c>
      <c r="C55" s="335"/>
      <c r="D55" s="393" t="s">
        <v>381</v>
      </c>
      <c r="E55" s="333" t="s">
        <v>543</v>
      </c>
      <c r="F55" s="34">
        <f t="shared" si="10"/>
        <v>5227</v>
      </c>
      <c r="G55" s="331">
        <f>SUM(G52:G54)</f>
        <v>4430</v>
      </c>
      <c r="H55" s="331">
        <f>SUM(H52:H54)</f>
        <v>0</v>
      </c>
      <c r="I55" s="331">
        <f>SUM(I52:I54)</f>
        <v>0</v>
      </c>
      <c r="J55" s="331">
        <f>SUM(J52:J54)</f>
        <v>797</v>
      </c>
      <c r="K55" s="34">
        <f t="shared" si="11"/>
        <v>5227</v>
      </c>
      <c r="L55" s="331">
        <f>SUM(L52:L54)</f>
        <v>4430</v>
      </c>
      <c r="M55" s="331">
        <f>SUM(M52:M54)</f>
        <v>0</v>
      </c>
      <c r="N55" s="331">
        <f>SUM(N52:N54)</f>
        <v>0</v>
      </c>
      <c r="O55" s="331">
        <f>SUM(O52:O54)</f>
        <v>797</v>
      </c>
      <c r="P55" s="34">
        <f t="shared" si="12"/>
        <v>4893</v>
      </c>
      <c r="Q55" s="331">
        <f>SUM(Q52:Q54)</f>
        <v>4209</v>
      </c>
      <c r="R55" s="331">
        <f>SUM(R52:R54)</f>
        <v>0</v>
      </c>
      <c r="S55" s="331">
        <f>SUM(S52:S54)</f>
        <v>0</v>
      </c>
      <c r="T55" s="331">
        <f>SUM(T52:T54)</f>
        <v>684</v>
      </c>
      <c r="U55" s="34">
        <f t="shared" si="13"/>
        <v>-334</v>
      </c>
      <c r="V55" s="331">
        <f>SUM(V52:V54)</f>
        <v>-221</v>
      </c>
      <c r="W55" s="331">
        <f>SUM(W52:W54)</f>
        <v>0</v>
      </c>
      <c r="X55" s="331">
        <f>SUM(X52:X54)</f>
        <v>0</v>
      </c>
      <c r="Y55" s="330">
        <f>SUM(Y52:Y54)</f>
        <v>-113</v>
      </c>
      <c r="Z55" s="564">
        <f t="shared" si="5"/>
        <v>93.610101396594601</v>
      </c>
      <c r="AA55" s="578">
        <f t="shared" si="6"/>
        <v>95.011286681715575</v>
      </c>
      <c r="AB55" s="578" t="str">
        <f t="shared" si="7"/>
        <v xml:space="preserve"> </v>
      </c>
      <c r="AC55" s="578" t="str">
        <f t="shared" si="8"/>
        <v xml:space="preserve"> </v>
      </c>
      <c r="AD55" s="579">
        <f t="shared" si="9"/>
        <v>85.821831869510675</v>
      </c>
    </row>
    <row r="56" spans="2:30" ht="15" thickBot="1" x14ac:dyDescent="0.25">
      <c r="B56" s="339" t="s">
        <v>407</v>
      </c>
      <c r="C56" s="338" t="s">
        <v>511</v>
      </c>
      <c r="D56" s="394" t="s">
        <v>381</v>
      </c>
      <c r="E56" s="35" t="s">
        <v>406</v>
      </c>
      <c r="F56" s="30">
        <f t="shared" si="10"/>
        <v>6136</v>
      </c>
      <c r="G56" s="27">
        <v>4883</v>
      </c>
      <c r="H56" s="27">
        <v>0</v>
      </c>
      <c r="I56" s="27">
        <v>0</v>
      </c>
      <c r="J56" s="27">
        <v>1253</v>
      </c>
      <c r="K56" s="30">
        <f t="shared" si="11"/>
        <v>6136</v>
      </c>
      <c r="L56" s="27">
        <v>4883</v>
      </c>
      <c r="M56" s="27">
        <v>0</v>
      </c>
      <c r="N56" s="27">
        <v>0</v>
      </c>
      <c r="O56" s="27">
        <v>1253</v>
      </c>
      <c r="P56" s="30">
        <f t="shared" si="12"/>
        <v>5799</v>
      </c>
      <c r="Q56" s="27">
        <v>4799</v>
      </c>
      <c r="R56" s="27">
        <v>0</v>
      </c>
      <c r="S56" s="27">
        <v>0</v>
      </c>
      <c r="T56" s="27">
        <v>1000</v>
      </c>
      <c r="U56" s="30">
        <f t="shared" si="13"/>
        <v>-337</v>
      </c>
      <c r="V56" s="27">
        <v>-84</v>
      </c>
      <c r="W56" s="27">
        <v>0</v>
      </c>
      <c r="X56" s="27">
        <v>0</v>
      </c>
      <c r="Y56" s="31">
        <v>-253</v>
      </c>
      <c r="Z56" s="559">
        <f t="shared" si="5"/>
        <v>94.507822685788796</v>
      </c>
      <c r="AA56" s="577">
        <f t="shared" si="6"/>
        <v>98.279746057751382</v>
      </c>
      <c r="AB56" s="577" t="str">
        <f t="shared" si="7"/>
        <v xml:space="preserve"> </v>
      </c>
      <c r="AC56" s="577" t="str">
        <f t="shared" si="8"/>
        <v xml:space="preserve"> </v>
      </c>
      <c r="AD56" s="562">
        <f t="shared" si="9"/>
        <v>79.808459696727851</v>
      </c>
    </row>
    <row r="57" spans="2:30" ht="15" thickBot="1" x14ac:dyDescent="0.25">
      <c r="B57" s="339" t="s">
        <v>407</v>
      </c>
      <c r="C57" s="338" t="s">
        <v>506</v>
      </c>
      <c r="D57" s="394" t="s">
        <v>381</v>
      </c>
      <c r="E57" s="35" t="s">
        <v>406</v>
      </c>
      <c r="F57" s="30">
        <f t="shared" si="10"/>
        <v>1925</v>
      </c>
      <c r="G57" s="27">
        <v>1800</v>
      </c>
      <c r="H57" s="27">
        <v>0</v>
      </c>
      <c r="I57" s="27">
        <v>0</v>
      </c>
      <c r="J57" s="27">
        <v>125</v>
      </c>
      <c r="K57" s="30">
        <f t="shared" si="11"/>
        <v>1925</v>
      </c>
      <c r="L57" s="27">
        <v>1800</v>
      </c>
      <c r="M57" s="27">
        <v>0</v>
      </c>
      <c r="N57" s="27">
        <v>0</v>
      </c>
      <c r="O57" s="27">
        <v>125</v>
      </c>
      <c r="P57" s="30">
        <f t="shared" si="12"/>
        <v>1613</v>
      </c>
      <c r="Q57" s="27">
        <v>1500</v>
      </c>
      <c r="R57" s="27">
        <v>0</v>
      </c>
      <c r="S57" s="27">
        <v>0</v>
      </c>
      <c r="T57" s="27">
        <v>113</v>
      </c>
      <c r="U57" s="30">
        <f t="shared" si="13"/>
        <v>-312</v>
      </c>
      <c r="V57" s="27">
        <v>-300</v>
      </c>
      <c r="W57" s="27">
        <v>0</v>
      </c>
      <c r="X57" s="27">
        <v>0</v>
      </c>
      <c r="Y57" s="31">
        <v>-12</v>
      </c>
      <c r="Z57" s="559">
        <f t="shared" si="5"/>
        <v>83.79220779220779</v>
      </c>
      <c r="AA57" s="577">
        <f t="shared" si="6"/>
        <v>83.333333333333343</v>
      </c>
      <c r="AB57" s="577" t="str">
        <f t="shared" si="7"/>
        <v xml:space="preserve"> </v>
      </c>
      <c r="AC57" s="577" t="str">
        <f t="shared" si="8"/>
        <v xml:space="preserve"> </v>
      </c>
      <c r="AD57" s="562">
        <f t="shared" si="9"/>
        <v>90.4</v>
      </c>
    </row>
    <row r="58" spans="2:30" ht="15" thickBot="1" x14ac:dyDescent="0.25">
      <c r="B58" s="339" t="s">
        <v>407</v>
      </c>
      <c r="C58" s="338" t="s">
        <v>498</v>
      </c>
      <c r="D58" s="394" t="s">
        <v>381</v>
      </c>
      <c r="E58" s="35" t="s">
        <v>406</v>
      </c>
      <c r="F58" s="30">
        <f t="shared" si="10"/>
        <v>500</v>
      </c>
      <c r="G58" s="27">
        <v>500</v>
      </c>
      <c r="H58" s="27">
        <v>0</v>
      </c>
      <c r="I58" s="27">
        <v>0</v>
      </c>
      <c r="J58" s="27">
        <v>0</v>
      </c>
      <c r="K58" s="30">
        <f t="shared" si="11"/>
        <v>500</v>
      </c>
      <c r="L58" s="27">
        <v>500</v>
      </c>
      <c r="M58" s="27">
        <v>0</v>
      </c>
      <c r="N58" s="27">
        <v>0</v>
      </c>
      <c r="O58" s="27">
        <v>0</v>
      </c>
      <c r="P58" s="30">
        <f t="shared" si="12"/>
        <v>500</v>
      </c>
      <c r="Q58" s="27">
        <v>500</v>
      </c>
      <c r="R58" s="27">
        <v>0</v>
      </c>
      <c r="S58" s="27">
        <v>0</v>
      </c>
      <c r="T58" s="27">
        <v>0</v>
      </c>
      <c r="U58" s="30">
        <f t="shared" si="13"/>
        <v>0</v>
      </c>
      <c r="V58" s="27">
        <v>0</v>
      </c>
      <c r="W58" s="27">
        <v>0</v>
      </c>
      <c r="X58" s="27">
        <v>0</v>
      </c>
      <c r="Y58" s="31">
        <v>0</v>
      </c>
      <c r="Z58" s="559">
        <f t="shared" si="5"/>
        <v>100</v>
      </c>
      <c r="AA58" s="577">
        <f t="shared" si="6"/>
        <v>100</v>
      </c>
      <c r="AB58" s="577" t="str">
        <f t="shared" si="7"/>
        <v xml:space="preserve"> </v>
      </c>
      <c r="AC58" s="577" t="str">
        <f t="shared" si="8"/>
        <v xml:space="preserve"> </v>
      </c>
      <c r="AD58" s="562" t="str">
        <f t="shared" si="9"/>
        <v xml:space="preserve"> </v>
      </c>
    </row>
    <row r="59" spans="2:30" ht="15" thickBot="1" x14ac:dyDescent="0.25">
      <c r="B59" s="339" t="s">
        <v>407</v>
      </c>
      <c r="C59" s="338" t="s">
        <v>505</v>
      </c>
      <c r="D59" s="394" t="s">
        <v>381</v>
      </c>
      <c r="E59" s="35" t="s">
        <v>406</v>
      </c>
      <c r="F59" s="30">
        <f t="shared" si="10"/>
        <v>500</v>
      </c>
      <c r="G59" s="27">
        <v>500</v>
      </c>
      <c r="H59" s="27">
        <v>0</v>
      </c>
      <c r="I59" s="27">
        <v>0</v>
      </c>
      <c r="J59" s="27">
        <v>0</v>
      </c>
      <c r="K59" s="30">
        <f t="shared" si="11"/>
        <v>500</v>
      </c>
      <c r="L59" s="27">
        <v>500</v>
      </c>
      <c r="M59" s="27">
        <v>0</v>
      </c>
      <c r="N59" s="27">
        <v>0</v>
      </c>
      <c r="O59" s="27">
        <v>0</v>
      </c>
      <c r="P59" s="30">
        <f t="shared" si="12"/>
        <v>500</v>
      </c>
      <c r="Q59" s="27">
        <v>500</v>
      </c>
      <c r="R59" s="27">
        <v>0</v>
      </c>
      <c r="S59" s="27">
        <v>0</v>
      </c>
      <c r="T59" s="27">
        <v>0</v>
      </c>
      <c r="U59" s="30">
        <f t="shared" si="13"/>
        <v>0</v>
      </c>
      <c r="V59" s="27">
        <v>0</v>
      </c>
      <c r="W59" s="27">
        <v>0</v>
      </c>
      <c r="X59" s="27">
        <v>0</v>
      </c>
      <c r="Y59" s="31">
        <v>0</v>
      </c>
      <c r="Z59" s="559">
        <f t="shared" si="5"/>
        <v>100</v>
      </c>
      <c r="AA59" s="577">
        <f t="shared" si="6"/>
        <v>100</v>
      </c>
      <c r="AB59" s="577" t="str">
        <f t="shared" si="7"/>
        <v xml:space="preserve"> </v>
      </c>
      <c r="AC59" s="577" t="str">
        <f t="shared" si="8"/>
        <v xml:space="preserve"> </v>
      </c>
      <c r="AD59" s="562" t="str">
        <f t="shared" si="9"/>
        <v xml:space="preserve"> </v>
      </c>
    </row>
    <row r="60" spans="2:30" ht="15.75" thickBot="1" x14ac:dyDescent="0.25">
      <c r="B60" s="336" t="s">
        <v>407</v>
      </c>
      <c r="C60" s="335"/>
      <c r="D60" s="393" t="s">
        <v>381</v>
      </c>
      <c r="E60" s="333" t="s">
        <v>406</v>
      </c>
      <c r="F60" s="34">
        <f t="shared" si="10"/>
        <v>9061</v>
      </c>
      <c r="G60" s="331">
        <f>SUM(G56:G59)</f>
        <v>7683</v>
      </c>
      <c r="H60" s="331">
        <f>SUM(H56:H59)</f>
        <v>0</v>
      </c>
      <c r="I60" s="331">
        <f>SUM(I56:I59)</f>
        <v>0</v>
      </c>
      <c r="J60" s="331">
        <f>SUM(J56:J59)</f>
        <v>1378</v>
      </c>
      <c r="K60" s="34">
        <f t="shared" si="11"/>
        <v>9061</v>
      </c>
      <c r="L60" s="331">
        <f>SUM(L56:L59)</f>
        <v>7683</v>
      </c>
      <c r="M60" s="331">
        <f>SUM(M56:M59)</f>
        <v>0</v>
      </c>
      <c r="N60" s="331">
        <f>SUM(N56:N59)</f>
        <v>0</v>
      </c>
      <c r="O60" s="331">
        <f>SUM(O56:O59)</f>
        <v>1378</v>
      </c>
      <c r="P60" s="34">
        <f t="shared" si="12"/>
        <v>8412</v>
      </c>
      <c r="Q60" s="331">
        <f>SUM(Q56:Q59)</f>
        <v>7299</v>
      </c>
      <c r="R60" s="331">
        <f>SUM(R56:R59)</f>
        <v>0</v>
      </c>
      <c r="S60" s="331">
        <f>SUM(S56:S59)</f>
        <v>0</v>
      </c>
      <c r="T60" s="331">
        <f>SUM(T56:T59)</f>
        <v>1113</v>
      </c>
      <c r="U60" s="34">
        <f t="shared" si="13"/>
        <v>-649</v>
      </c>
      <c r="V60" s="331">
        <f>SUM(V56:V59)</f>
        <v>-384</v>
      </c>
      <c r="W60" s="331">
        <f>SUM(W56:W59)</f>
        <v>0</v>
      </c>
      <c r="X60" s="331">
        <f>SUM(X56:X59)</f>
        <v>0</v>
      </c>
      <c r="Y60" s="330">
        <f>SUM(Y56:Y59)</f>
        <v>-265</v>
      </c>
      <c r="Z60" s="564">
        <f t="shared" si="5"/>
        <v>92.837435161681938</v>
      </c>
      <c r="AA60" s="578">
        <f t="shared" si="6"/>
        <v>95.001952362358452</v>
      </c>
      <c r="AB60" s="578" t="str">
        <f t="shared" si="7"/>
        <v xml:space="preserve"> </v>
      </c>
      <c r="AC60" s="578" t="str">
        <f t="shared" si="8"/>
        <v xml:space="preserve"> </v>
      </c>
      <c r="AD60" s="579">
        <f t="shared" si="9"/>
        <v>80.769230769230774</v>
      </c>
    </row>
    <row r="61" spans="2:30" ht="15" thickBot="1" x14ac:dyDescent="0.25">
      <c r="B61" s="339" t="s">
        <v>405</v>
      </c>
      <c r="C61" s="338" t="s">
        <v>511</v>
      </c>
      <c r="D61" s="394" t="s">
        <v>381</v>
      </c>
      <c r="E61" s="35" t="s">
        <v>542</v>
      </c>
      <c r="F61" s="30">
        <f t="shared" si="10"/>
        <v>2618</v>
      </c>
      <c r="G61" s="27">
        <v>2128</v>
      </c>
      <c r="H61" s="27">
        <v>0</v>
      </c>
      <c r="I61" s="27">
        <v>0</v>
      </c>
      <c r="J61" s="27">
        <v>490</v>
      </c>
      <c r="K61" s="30">
        <f t="shared" si="11"/>
        <v>2618</v>
      </c>
      <c r="L61" s="27">
        <v>2128</v>
      </c>
      <c r="M61" s="27">
        <v>0</v>
      </c>
      <c r="N61" s="27">
        <v>0</v>
      </c>
      <c r="O61" s="27">
        <v>490</v>
      </c>
      <c r="P61" s="30">
        <f t="shared" si="12"/>
        <v>2549</v>
      </c>
      <c r="Q61" s="27">
        <v>2020</v>
      </c>
      <c r="R61" s="27">
        <v>0</v>
      </c>
      <c r="S61" s="27">
        <v>0</v>
      </c>
      <c r="T61" s="27">
        <v>529</v>
      </c>
      <c r="U61" s="30">
        <f t="shared" si="13"/>
        <v>-69</v>
      </c>
      <c r="V61" s="27">
        <v>-108</v>
      </c>
      <c r="W61" s="27">
        <v>0</v>
      </c>
      <c r="X61" s="27">
        <v>0</v>
      </c>
      <c r="Y61" s="31">
        <v>39</v>
      </c>
      <c r="Z61" s="559">
        <f t="shared" si="5"/>
        <v>97.36440030557678</v>
      </c>
      <c r="AA61" s="577">
        <f t="shared" si="6"/>
        <v>94.924812030075188</v>
      </c>
      <c r="AB61" s="577" t="str">
        <f t="shared" si="7"/>
        <v xml:space="preserve"> </v>
      </c>
      <c r="AC61" s="577" t="str">
        <f t="shared" si="8"/>
        <v xml:space="preserve"> </v>
      </c>
      <c r="AD61" s="562">
        <f t="shared" si="9"/>
        <v>107.9591836734694</v>
      </c>
    </row>
    <row r="62" spans="2:30" ht="26.25" thickBot="1" x14ac:dyDescent="0.25">
      <c r="B62" s="336" t="s">
        <v>405</v>
      </c>
      <c r="C62" s="335"/>
      <c r="D62" s="393" t="s">
        <v>381</v>
      </c>
      <c r="E62" s="333" t="s">
        <v>542</v>
      </c>
      <c r="F62" s="34">
        <f t="shared" si="10"/>
        <v>2618</v>
      </c>
      <c r="G62" s="331">
        <f>G61</f>
        <v>2128</v>
      </c>
      <c r="H62" s="331">
        <f>H61</f>
        <v>0</v>
      </c>
      <c r="I62" s="331">
        <f>I61</f>
        <v>0</v>
      </c>
      <c r="J62" s="331">
        <f>J61</f>
        <v>490</v>
      </c>
      <c r="K62" s="34">
        <f t="shared" si="11"/>
        <v>2618</v>
      </c>
      <c r="L62" s="331">
        <f>L61</f>
        <v>2128</v>
      </c>
      <c r="M62" s="331">
        <f>M61</f>
        <v>0</v>
      </c>
      <c r="N62" s="331">
        <f>N61</f>
        <v>0</v>
      </c>
      <c r="O62" s="331">
        <f>O61</f>
        <v>490</v>
      </c>
      <c r="P62" s="34">
        <f t="shared" si="12"/>
        <v>2549</v>
      </c>
      <c r="Q62" s="331">
        <f>Q61</f>
        <v>2020</v>
      </c>
      <c r="R62" s="331">
        <f>R61</f>
        <v>0</v>
      </c>
      <c r="S62" s="331">
        <f>S61</f>
        <v>0</v>
      </c>
      <c r="T62" s="331">
        <f>T61</f>
        <v>529</v>
      </c>
      <c r="U62" s="34">
        <f t="shared" si="13"/>
        <v>-69</v>
      </c>
      <c r="V62" s="331">
        <f>V61</f>
        <v>-108</v>
      </c>
      <c r="W62" s="331">
        <f>W61</f>
        <v>0</v>
      </c>
      <c r="X62" s="331">
        <f>X61</f>
        <v>0</v>
      </c>
      <c r="Y62" s="330">
        <f>Y61</f>
        <v>39</v>
      </c>
      <c r="Z62" s="564">
        <f t="shared" si="5"/>
        <v>97.36440030557678</v>
      </c>
      <c r="AA62" s="578">
        <f t="shared" si="6"/>
        <v>94.924812030075188</v>
      </c>
      <c r="AB62" s="578" t="str">
        <f t="shared" si="7"/>
        <v xml:space="preserve"> </v>
      </c>
      <c r="AC62" s="578" t="str">
        <f t="shared" si="8"/>
        <v xml:space="preserve"> </v>
      </c>
      <c r="AD62" s="579">
        <f t="shared" si="9"/>
        <v>107.9591836734694</v>
      </c>
    </row>
    <row r="63" spans="2:30" ht="15" thickBot="1" x14ac:dyDescent="0.25">
      <c r="B63" s="339" t="s">
        <v>404</v>
      </c>
      <c r="C63" s="338" t="s">
        <v>511</v>
      </c>
      <c r="D63" s="394" t="s">
        <v>381</v>
      </c>
      <c r="E63" s="35" t="s">
        <v>541</v>
      </c>
      <c r="F63" s="30">
        <f t="shared" si="10"/>
        <v>2216</v>
      </c>
      <c r="G63" s="27">
        <v>1987</v>
      </c>
      <c r="H63" s="27">
        <v>0</v>
      </c>
      <c r="I63" s="27">
        <v>0</v>
      </c>
      <c r="J63" s="27">
        <v>229</v>
      </c>
      <c r="K63" s="30">
        <f t="shared" si="11"/>
        <v>2216</v>
      </c>
      <c r="L63" s="27">
        <f>198082/100</f>
        <v>1980.82</v>
      </c>
      <c r="M63" s="27">
        <f>618/100</f>
        <v>6.18</v>
      </c>
      <c r="N63" s="27">
        <v>0</v>
      </c>
      <c r="O63" s="27">
        <v>229</v>
      </c>
      <c r="P63" s="30">
        <f t="shared" si="12"/>
        <v>2116</v>
      </c>
      <c r="Q63" s="27">
        <v>1888</v>
      </c>
      <c r="R63" s="27">
        <v>0</v>
      </c>
      <c r="S63" s="27">
        <v>0</v>
      </c>
      <c r="T63" s="27">
        <v>228</v>
      </c>
      <c r="U63" s="30">
        <f t="shared" si="13"/>
        <v>-100</v>
      </c>
      <c r="V63" s="27">
        <v>-99</v>
      </c>
      <c r="W63" s="27">
        <v>0</v>
      </c>
      <c r="X63" s="27">
        <v>0</v>
      </c>
      <c r="Y63" s="31">
        <v>-1</v>
      </c>
      <c r="Z63" s="559">
        <f t="shared" si="5"/>
        <v>95.487364620938635</v>
      </c>
      <c r="AA63" s="577">
        <f t="shared" si="6"/>
        <v>95.017614494212381</v>
      </c>
      <c r="AB63" s="577" t="str">
        <f t="shared" si="7"/>
        <v xml:space="preserve"> </v>
      </c>
      <c r="AC63" s="577" t="str">
        <f t="shared" si="8"/>
        <v xml:space="preserve"> </v>
      </c>
      <c r="AD63" s="562">
        <f t="shared" si="9"/>
        <v>99.563318777292579</v>
      </c>
    </row>
    <row r="64" spans="2:30" ht="26.25" thickBot="1" x14ac:dyDescent="0.25">
      <c r="B64" s="336" t="s">
        <v>404</v>
      </c>
      <c r="C64" s="335"/>
      <c r="D64" s="393" t="s">
        <v>381</v>
      </c>
      <c r="E64" s="333" t="s">
        <v>541</v>
      </c>
      <c r="F64" s="34">
        <f t="shared" si="10"/>
        <v>2216</v>
      </c>
      <c r="G64" s="331">
        <f>G63</f>
        <v>1987</v>
      </c>
      <c r="H64" s="331">
        <f>H63</f>
        <v>0</v>
      </c>
      <c r="I64" s="331">
        <f>I63</f>
        <v>0</v>
      </c>
      <c r="J64" s="331">
        <f>J63</f>
        <v>229</v>
      </c>
      <c r="K64" s="34">
        <f t="shared" si="11"/>
        <v>2216</v>
      </c>
      <c r="L64" s="331">
        <f>L63</f>
        <v>1980.82</v>
      </c>
      <c r="M64" s="331">
        <f>M63</f>
        <v>6.18</v>
      </c>
      <c r="N64" s="331">
        <f>N63</f>
        <v>0</v>
      </c>
      <c r="O64" s="331">
        <f>O63</f>
        <v>229</v>
      </c>
      <c r="P64" s="34">
        <f t="shared" si="12"/>
        <v>2116</v>
      </c>
      <c r="Q64" s="331">
        <f>Q63</f>
        <v>1888</v>
      </c>
      <c r="R64" s="331">
        <f>R63</f>
        <v>0</v>
      </c>
      <c r="S64" s="331">
        <f>S63</f>
        <v>0</v>
      </c>
      <c r="T64" s="331">
        <f>T63</f>
        <v>228</v>
      </c>
      <c r="U64" s="34">
        <f t="shared" si="13"/>
        <v>-100</v>
      </c>
      <c r="V64" s="331">
        <f>V63</f>
        <v>-99</v>
      </c>
      <c r="W64" s="331">
        <f>W63</f>
        <v>0</v>
      </c>
      <c r="X64" s="331">
        <f>X63</f>
        <v>0</v>
      </c>
      <c r="Y64" s="330">
        <f>Y63</f>
        <v>-1</v>
      </c>
      <c r="Z64" s="564">
        <f t="shared" si="5"/>
        <v>95.487364620938635</v>
      </c>
      <c r="AA64" s="578">
        <f t="shared" si="6"/>
        <v>95.017614494212381</v>
      </c>
      <c r="AB64" s="578" t="str">
        <f t="shared" si="7"/>
        <v xml:space="preserve"> </v>
      </c>
      <c r="AC64" s="578" t="str">
        <f t="shared" si="8"/>
        <v xml:space="preserve"> </v>
      </c>
      <c r="AD64" s="579">
        <f t="shared" si="9"/>
        <v>99.563318777292579</v>
      </c>
    </row>
    <row r="65" spans="2:30" ht="15" thickBot="1" x14ac:dyDescent="0.25">
      <c r="B65" s="339" t="s">
        <v>403</v>
      </c>
      <c r="C65" s="338" t="s">
        <v>511</v>
      </c>
      <c r="D65" s="394" t="s">
        <v>381</v>
      </c>
      <c r="E65" s="35" t="s">
        <v>540</v>
      </c>
      <c r="F65" s="30">
        <f t="shared" si="10"/>
        <v>2090</v>
      </c>
      <c r="G65" s="27">
        <v>2090</v>
      </c>
      <c r="H65" s="27">
        <v>0</v>
      </c>
      <c r="I65" s="27">
        <v>0</v>
      </c>
      <c r="J65" s="27">
        <v>0</v>
      </c>
      <c r="K65" s="30">
        <f t="shared" si="11"/>
        <v>2090</v>
      </c>
      <c r="L65" s="27">
        <v>2090</v>
      </c>
      <c r="M65" s="27">
        <v>0</v>
      </c>
      <c r="N65" s="27">
        <v>0</v>
      </c>
      <c r="O65" s="27">
        <v>0</v>
      </c>
      <c r="P65" s="30">
        <f t="shared" si="12"/>
        <v>1845</v>
      </c>
      <c r="Q65" s="27">
        <v>1845</v>
      </c>
      <c r="R65" s="27">
        <v>0</v>
      </c>
      <c r="S65" s="27">
        <v>0</v>
      </c>
      <c r="T65" s="27">
        <v>0</v>
      </c>
      <c r="U65" s="30">
        <f t="shared" si="13"/>
        <v>-245</v>
      </c>
      <c r="V65" s="27">
        <v>-245</v>
      </c>
      <c r="W65" s="27">
        <v>0</v>
      </c>
      <c r="X65" s="27">
        <v>0</v>
      </c>
      <c r="Y65" s="31">
        <v>0</v>
      </c>
      <c r="Z65" s="559">
        <f t="shared" si="5"/>
        <v>88.277511961722482</v>
      </c>
      <c r="AA65" s="577">
        <f t="shared" si="6"/>
        <v>88.277511961722482</v>
      </c>
      <c r="AB65" s="577" t="str">
        <f t="shared" si="7"/>
        <v xml:space="preserve"> </v>
      </c>
      <c r="AC65" s="577" t="str">
        <f t="shared" si="8"/>
        <v xml:space="preserve"> </v>
      </c>
      <c r="AD65" s="562" t="str">
        <f t="shared" si="9"/>
        <v xml:space="preserve"> </v>
      </c>
    </row>
    <row r="66" spans="2:30" ht="15" thickBot="1" x14ac:dyDescent="0.25">
      <c r="B66" s="339" t="s">
        <v>403</v>
      </c>
      <c r="C66" s="338" t="s">
        <v>506</v>
      </c>
      <c r="D66" s="394" t="s">
        <v>381</v>
      </c>
      <c r="E66" s="35" t="s">
        <v>540</v>
      </c>
      <c r="F66" s="30">
        <f t="shared" si="10"/>
        <v>3278</v>
      </c>
      <c r="G66" s="27">
        <v>2585</v>
      </c>
      <c r="H66" s="27">
        <v>0</v>
      </c>
      <c r="I66" s="27">
        <v>0</v>
      </c>
      <c r="J66" s="27">
        <v>693</v>
      </c>
      <c r="K66" s="30">
        <f t="shared" si="11"/>
        <v>3278</v>
      </c>
      <c r="L66" s="27">
        <v>2585</v>
      </c>
      <c r="M66" s="27">
        <v>0</v>
      </c>
      <c r="N66" s="27">
        <v>0</v>
      </c>
      <c r="O66" s="27">
        <v>693</v>
      </c>
      <c r="P66" s="30">
        <f t="shared" si="12"/>
        <v>3102</v>
      </c>
      <c r="Q66" s="27">
        <v>2407</v>
      </c>
      <c r="R66" s="27">
        <v>0</v>
      </c>
      <c r="S66" s="27">
        <v>0</v>
      </c>
      <c r="T66" s="27">
        <v>695</v>
      </c>
      <c r="U66" s="30">
        <f t="shared" si="13"/>
        <v>-176</v>
      </c>
      <c r="V66" s="27">
        <v>-178</v>
      </c>
      <c r="W66" s="27">
        <v>0</v>
      </c>
      <c r="X66" s="27">
        <v>0</v>
      </c>
      <c r="Y66" s="31">
        <v>2</v>
      </c>
      <c r="Z66" s="559">
        <f t="shared" si="5"/>
        <v>94.630872483221466</v>
      </c>
      <c r="AA66" s="577">
        <f t="shared" si="6"/>
        <v>93.11411992263055</v>
      </c>
      <c r="AB66" s="577" t="str">
        <f t="shared" si="7"/>
        <v xml:space="preserve"> </v>
      </c>
      <c r="AC66" s="577" t="str">
        <f t="shared" si="8"/>
        <v xml:space="preserve"> </v>
      </c>
      <c r="AD66" s="562">
        <f t="shared" si="9"/>
        <v>100.28860028860029</v>
      </c>
    </row>
    <row r="67" spans="2:30" ht="15" thickBot="1" x14ac:dyDescent="0.25">
      <c r="B67" s="339" t="s">
        <v>403</v>
      </c>
      <c r="C67" s="338" t="s">
        <v>498</v>
      </c>
      <c r="D67" s="394" t="s">
        <v>381</v>
      </c>
      <c r="E67" s="35" t="s">
        <v>540</v>
      </c>
      <c r="F67" s="30">
        <f t="shared" si="10"/>
        <v>417</v>
      </c>
      <c r="G67" s="27">
        <v>385</v>
      </c>
      <c r="H67" s="27">
        <v>0</v>
      </c>
      <c r="I67" s="27">
        <v>0</v>
      </c>
      <c r="J67" s="27">
        <v>32</v>
      </c>
      <c r="K67" s="30">
        <f t="shared" si="11"/>
        <v>417</v>
      </c>
      <c r="L67" s="27">
        <v>385</v>
      </c>
      <c r="M67" s="27">
        <v>0</v>
      </c>
      <c r="N67" s="27">
        <v>0</v>
      </c>
      <c r="O67" s="27">
        <v>32</v>
      </c>
      <c r="P67" s="30">
        <f t="shared" si="12"/>
        <v>383</v>
      </c>
      <c r="Q67" s="27">
        <v>358</v>
      </c>
      <c r="R67" s="27">
        <v>0</v>
      </c>
      <c r="S67" s="27">
        <v>0</v>
      </c>
      <c r="T67" s="27">
        <v>25</v>
      </c>
      <c r="U67" s="30">
        <f t="shared" si="13"/>
        <v>-34</v>
      </c>
      <c r="V67" s="27">
        <v>-27</v>
      </c>
      <c r="W67" s="27">
        <v>0</v>
      </c>
      <c r="X67" s="27">
        <v>0</v>
      </c>
      <c r="Y67" s="31">
        <v>-7</v>
      </c>
      <c r="Z67" s="559">
        <f t="shared" si="5"/>
        <v>91.846522781774581</v>
      </c>
      <c r="AA67" s="577">
        <f t="shared" si="6"/>
        <v>92.987012987012989</v>
      </c>
      <c r="AB67" s="577" t="str">
        <f t="shared" si="7"/>
        <v xml:space="preserve"> </v>
      </c>
      <c r="AC67" s="577" t="str">
        <f t="shared" si="8"/>
        <v xml:space="preserve"> </v>
      </c>
      <c r="AD67" s="562">
        <f t="shared" si="9"/>
        <v>78.125</v>
      </c>
    </row>
    <row r="68" spans="2:30" ht="15" thickBot="1" x14ac:dyDescent="0.25">
      <c r="B68" s="339" t="s">
        <v>403</v>
      </c>
      <c r="C68" s="338" t="s">
        <v>505</v>
      </c>
      <c r="D68" s="394" t="s">
        <v>381</v>
      </c>
      <c r="E68" s="35" t="s">
        <v>540</v>
      </c>
      <c r="F68" s="30">
        <f t="shared" si="10"/>
        <v>654</v>
      </c>
      <c r="G68" s="27">
        <v>440</v>
      </c>
      <c r="H68" s="27">
        <v>0</v>
      </c>
      <c r="I68" s="27">
        <v>0</v>
      </c>
      <c r="J68" s="27">
        <v>214</v>
      </c>
      <c r="K68" s="30">
        <f t="shared" si="11"/>
        <v>654</v>
      </c>
      <c r="L68" s="27">
        <v>440</v>
      </c>
      <c r="M68" s="27">
        <v>0</v>
      </c>
      <c r="N68" s="27">
        <v>0</v>
      </c>
      <c r="O68" s="27">
        <v>214</v>
      </c>
      <c r="P68" s="30">
        <f t="shared" si="12"/>
        <v>703</v>
      </c>
      <c r="Q68" s="27">
        <v>512</v>
      </c>
      <c r="R68" s="27">
        <v>0</v>
      </c>
      <c r="S68" s="27">
        <v>0</v>
      </c>
      <c r="T68" s="27">
        <v>191</v>
      </c>
      <c r="U68" s="30">
        <f t="shared" si="13"/>
        <v>49</v>
      </c>
      <c r="V68" s="27">
        <v>72</v>
      </c>
      <c r="W68" s="27">
        <v>0</v>
      </c>
      <c r="X68" s="27">
        <v>0</v>
      </c>
      <c r="Y68" s="31">
        <v>-23</v>
      </c>
      <c r="Z68" s="559">
        <f t="shared" si="5"/>
        <v>107.49235474006116</v>
      </c>
      <c r="AA68" s="577">
        <f t="shared" si="6"/>
        <v>116.36363636363636</v>
      </c>
      <c r="AB68" s="577" t="str">
        <f t="shared" si="7"/>
        <v xml:space="preserve"> </v>
      </c>
      <c r="AC68" s="577" t="str">
        <f t="shared" si="8"/>
        <v xml:space="preserve"> </v>
      </c>
      <c r="AD68" s="562">
        <f t="shared" si="9"/>
        <v>89.252336448598129</v>
      </c>
    </row>
    <row r="69" spans="2:30" ht="26.25" thickBot="1" x14ac:dyDescent="0.25">
      <c r="B69" s="336" t="s">
        <v>403</v>
      </c>
      <c r="C69" s="335"/>
      <c r="D69" s="393" t="s">
        <v>381</v>
      </c>
      <c r="E69" s="333" t="s">
        <v>540</v>
      </c>
      <c r="F69" s="34">
        <f t="shared" si="10"/>
        <v>6439</v>
      </c>
      <c r="G69" s="331">
        <f>SUM(G65:G68)</f>
        <v>5500</v>
      </c>
      <c r="H69" s="331">
        <f>SUM(H65:H68)</f>
        <v>0</v>
      </c>
      <c r="I69" s="331">
        <f>SUM(I65:I68)</f>
        <v>0</v>
      </c>
      <c r="J69" s="331">
        <f>SUM(J65:J68)</f>
        <v>939</v>
      </c>
      <c r="K69" s="34">
        <f t="shared" si="11"/>
        <v>6439</v>
      </c>
      <c r="L69" s="331">
        <f>SUM(L65:L68)</f>
        <v>5500</v>
      </c>
      <c r="M69" s="331">
        <f>SUM(M65:M68)</f>
        <v>0</v>
      </c>
      <c r="N69" s="331">
        <f>SUM(N65:N68)</f>
        <v>0</v>
      </c>
      <c r="O69" s="331">
        <f>SUM(O65:O68)</f>
        <v>939</v>
      </c>
      <c r="P69" s="34">
        <f t="shared" si="12"/>
        <v>6033</v>
      </c>
      <c r="Q69" s="331">
        <f>SUM(Q65:Q68)</f>
        <v>5122</v>
      </c>
      <c r="R69" s="331">
        <f>SUM(R65:R68)</f>
        <v>0</v>
      </c>
      <c r="S69" s="331">
        <f>SUM(S65:S68)</f>
        <v>0</v>
      </c>
      <c r="T69" s="331">
        <f>SUM(T65:T68)</f>
        <v>911</v>
      </c>
      <c r="U69" s="34">
        <f t="shared" si="13"/>
        <v>-406</v>
      </c>
      <c r="V69" s="331">
        <f>SUM(V65:V68)</f>
        <v>-378</v>
      </c>
      <c r="W69" s="331">
        <f>SUM(W65:W68)</f>
        <v>0</v>
      </c>
      <c r="X69" s="331">
        <f>SUM(X65:X68)</f>
        <v>0</v>
      </c>
      <c r="Y69" s="330">
        <f>SUM(Y65:Y68)</f>
        <v>-28</v>
      </c>
      <c r="Z69" s="564">
        <f t="shared" si="5"/>
        <v>93.694673085882897</v>
      </c>
      <c r="AA69" s="578">
        <f t="shared" si="6"/>
        <v>93.127272727272725</v>
      </c>
      <c r="AB69" s="578" t="str">
        <f t="shared" si="7"/>
        <v xml:space="preserve"> </v>
      </c>
      <c r="AC69" s="578" t="str">
        <f t="shared" si="8"/>
        <v xml:space="preserve"> </v>
      </c>
      <c r="AD69" s="579">
        <f t="shared" si="9"/>
        <v>97.018104366347174</v>
      </c>
    </row>
    <row r="70" spans="2:30" ht="15" thickBot="1" x14ac:dyDescent="0.25">
      <c r="B70" s="339" t="s">
        <v>402</v>
      </c>
      <c r="C70" s="338" t="s">
        <v>511</v>
      </c>
      <c r="D70" s="394" t="s">
        <v>381</v>
      </c>
      <c r="E70" s="35" t="s">
        <v>539</v>
      </c>
      <c r="F70" s="30">
        <f t="shared" si="10"/>
        <v>1988</v>
      </c>
      <c r="G70" s="27">
        <v>1988</v>
      </c>
      <c r="H70" s="27">
        <v>0</v>
      </c>
      <c r="I70" s="27">
        <v>0</v>
      </c>
      <c r="J70" s="27">
        <v>0</v>
      </c>
      <c r="K70" s="30">
        <f t="shared" si="11"/>
        <v>1988</v>
      </c>
      <c r="L70" s="27">
        <v>1988</v>
      </c>
      <c r="M70" s="27">
        <v>0</v>
      </c>
      <c r="N70" s="27">
        <v>0</v>
      </c>
      <c r="O70" s="27">
        <v>0</v>
      </c>
      <c r="P70" s="30">
        <f t="shared" si="12"/>
        <v>1889</v>
      </c>
      <c r="Q70" s="27">
        <v>1889</v>
      </c>
      <c r="R70" s="27">
        <v>0</v>
      </c>
      <c r="S70" s="27">
        <v>0</v>
      </c>
      <c r="T70" s="27">
        <v>0</v>
      </c>
      <c r="U70" s="30">
        <f t="shared" si="13"/>
        <v>-99</v>
      </c>
      <c r="V70" s="27">
        <v>-99</v>
      </c>
      <c r="W70" s="27">
        <v>0</v>
      </c>
      <c r="X70" s="27">
        <v>0</v>
      </c>
      <c r="Y70" s="31">
        <v>0</v>
      </c>
      <c r="Z70" s="559">
        <f t="shared" si="5"/>
        <v>95.020120724346086</v>
      </c>
      <c r="AA70" s="577">
        <f t="shared" si="6"/>
        <v>95.020120724346086</v>
      </c>
      <c r="AB70" s="577" t="str">
        <f t="shared" si="7"/>
        <v xml:space="preserve"> </v>
      </c>
      <c r="AC70" s="577" t="str">
        <f t="shared" si="8"/>
        <v xml:space="preserve"> </v>
      </c>
      <c r="AD70" s="562" t="str">
        <f t="shared" si="9"/>
        <v xml:space="preserve"> </v>
      </c>
    </row>
    <row r="71" spans="2:30" ht="15" thickBot="1" x14ac:dyDescent="0.25">
      <c r="B71" s="339" t="s">
        <v>402</v>
      </c>
      <c r="C71" s="338" t="s">
        <v>506</v>
      </c>
      <c r="D71" s="394" t="s">
        <v>381</v>
      </c>
      <c r="E71" s="35" t="s">
        <v>539</v>
      </c>
      <c r="F71" s="30">
        <f t="shared" si="10"/>
        <v>7028</v>
      </c>
      <c r="G71" s="27">
        <v>4068</v>
      </c>
      <c r="H71" s="27">
        <v>100</v>
      </c>
      <c r="I71" s="27">
        <v>0</v>
      </c>
      <c r="J71" s="27">
        <v>2860</v>
      </c>
      <c r="K71" s="30">
        <f t="shared" si="11"/>
        <v>7028</v>
      </c>
      <c r="L71" s="27">
        <v>4068</v>
      </c>
      <c r="M71" s="27">
        <v>100</v>
      </c>
      <c r="N71" s="27">
        <v>0</v>
      </c>
      <c r="O71" s="27">
        <v>2860</v>
      </c>
      <c r="P71" s="30">
        <f t="shared" si="12"/>
        <v>6941</v>
      </c>
      <c r="Q71" s="27">
        <v>3864</v>
      </c>
      <c r="R71" s="27">
        <v>100</v>
      </c>
      <c r="S71" s="27">
        <v>0</v>
      </c>
      <c r="T71" s="27">
        <v>2977</v>
      </c>
      <c r="U71" s="30">
        <f t="shared" si="13"/>
        <v>-87</v>
      </c>
      <c r="V71" s="27">
        <v>-204</v>
      </c>
      <c r="W71" s="27">
        <v>0</v>
      </c>
      <c r="X71" s="27">
        <v>0</v>
      </c>
      <c r="Y71" s="31">
        <v>117</v>
      </c>
      <c r="Z71" s="559">
        <f t="shared" si="5"/>
        <v>98.762094479225951</v>
      </c>
      <c r="AA71" s="577">
        <f t="shared" si="6"/>
        <v>94.985250737463119</v>
      </c>
      <c r="AB71" s="577">
        <f t="shared" si="7"/>
        <v>100</v>
      </c>
      <c r="AC71" s="577" t="str">
        <f t="shared" si="8"/>
        <v xml:space="preserve"> </v>
      </c>
      <c r="AD71" s="562">
        <f t="shared" si="9"/>
        <v>104.09090909090909</v>
      </c>
    </row>
    <row r="72" spans="2:30" ht="15" thickBot="1" x14ac:dyDescent="0.25">
      <c r="B72" s="339" t="s">
        <v>402</v>
      </c>
      <c r="C72" s="338" t="s">
        <v>498</v>
      </c>
      <c r="D72" s="394" t="s">
        <v>381</v>
      </c>
      <c r="E72" s="35" t="s">
        <v>539</v>
      </c>
      <c r="F72" s="30">
        <f t="shared" si="10"/>
        <v>917</v>
      </c>
      <c r="G72" s="27">
        <v>917</v>
      </c>
      <c r="H72" s="27">
        <v>0</v>
      </c>
      <c r="I72" s="27">
        <v>0</v>
      </c>
      <c r="J72" s="27">
        <v>0</v>
      </c>
      <c r="K72" s="30">
        <f t="shared" si="11"/>
        <v>917</v>
      </c>
      <c r="L72" s="27">
        <v>917</v>
      </c>
      <c r="M72" s="27">
        <v>0</v>
      </c>
      <c r="N72" s="27">
        <v>0</v>
      </c>
      <c r="O72" s="27">
        <v>0</v>
      </c>
      <c r="P72" s="30">
        <f t="shared" si="12"/>
        <v>871</v>
      </c>
      <c r="Q72" s="27">
        <v>871</v>
      </c>
      <c r="R72" s="27">
        <v>0</v>
      </c>
      <c r="S72" s="27">
        <v>0</v>
      </c>
      <c r="T72" s="27">
        <v>0</v>
      </c>
      <c r="U72" s="30">
        <f t="shared" si="13"/>
        <v>-46</v>
      </c>
      <c r="V72" s="27">
        <v>-46</v>
      </c>
      <c r="W72" s="27">
        <v>0</v>
      </c>
      <c r="X72" s="27">
        <v>0</v>
      </c>
      <c r="Y72" s="31">
        <v>0</v>
      </c>
      <c r="Z72" s="559">
        <f t="shared" si="5"/>
        <v>94.983642311886584</v>
      </c>
      <c r="AA72" s="577">
        <f t="shared" si="6"/>
        <v>94.983642311886584</v>
      </c>
      <c r="AB72" s="577" t="str">
        <f t="shared" si="7"/>
        <v xml:space="preserve"> </v>
      </c>
      <c r="AC72" s="577" t="str">
        <f t="shared" si="8"/>
        <v xml:space="preserve"> </v>
      </c>
      <c r="AD72" s="562" t="str">
        <f t="shared" si="9"/>
        <v xml:space="preserve"> </v>
      </c>
    </row>
    <row r="73" spans="2:30" ht="15" thickBot="1" x14ac:dyDescent="0.25">
      <c r="B73" s="339" t="s">
        <v>402</v>
      </c>
      <c r="C73" s="338" t="s">
        <v>505</v>
      </c>
      <c r="D73" s="394" t="s">
        <v>381</v>
      </c>
      <c r="E73" s="35" t="s">
        <v>539</v>
      </c>
      <c r="F73" s="30">
        <f t="shared" si="10"/>
        <v>868</v>
      </c>
      <c r="G73" s="27">
        <v>868</v>
      </c>
      <c r="H73" s="27">
        <v>0</v>
      </c>
      <c r="I73" s="27">
        <v>0</v>
      </c>
      <c r="J73" s="27">
        <v>0</v>
      </c>
      <c r="K73" s="30">
        <f t="shared" si="11"/>
        <v>868</v>
      </c>
      <c r="L73" s="27">
        <v>868</v>
      </c>
      <c r="M73" s="27">
        <v>0</v>
      </c>
      <c r="N73" s="27">
        <v>0</v>
      </c>
      <c r="O73" s="27">
        <v>0</v>
      </c>
      <c r="P73" s="30">
        <f t="shared" si="12"/>
        <v>825</v>
      </c>
      <c r="Q73" s="27">
        <v>825</v>
      </c>
      <c r="R73" s="27">
        <v>0</v>
      </c>
      <c r="S73" s="27">
        <v>0</v>
      </c>
      <c r="T73" s="27">
        <v>0</v>
      </c>
      <c r="U73" s="30">
        <f t="shared" si="13"/>
        <v>-43</v>
      </c>
      <c r="V73" s="27">
        <v>-43</v>
      </c>
      <c r="W73" s="27">
        <v>0</v>
      </c>
      <c r="X73" s="27">
        <v>0</v>
      </c>
      <c r="Y73" s="31">
        <v>0</v>
      </c>
      <c r="Z73" s="559">
        <f t="shared" si="5"/>
        <v>95.046082949308754</v>
      </c>
      <c r="AA73" s="577">
        <f t="shared" si="6"/>
        <v>95.046082949308754</v>
      </c>
      <c r="AB73" s="577" t="str">
        <f t="shared" si="7"/>
        <v xml:space="preserve"> </v>
      </c>
      <c r="AC73" s="577" t="str">
        <f t="shared" si="8"/>
        <v xml:space="preserve"> </v>
      </c>
      <c r="AD73" s="562" t="str">
        <f t="shared" si="9"/>
        <v xml:space="preserve"> </v>
      </c>
    </row>
    <row r="74" spans="2:30" ht="15.75" thickBot="1" x14ac:dyDescent="0.25">
      <c r="B74" s="336" t="s">
        <v>402</v>
      </c>
      <c r="C74" s="335"/>
      <c r="D74" s="393" t="s">
        <v>381</v>
      </c>
      <c r="E74" s="333" t="s">
        <v>539</v>
      </c>
      <c r="F74" s="34">
        <f t="shared" si="10"/>
        <v>10801</v>
      </c>
      <c r="G74" s="331">
        <f>SUM(G70:G73)</f>
        <v>7841</v>
      </c>
      <c r="H74" s="331">
        <f>SUM(H70:H73)</f>
        <v>100</v>
      </c>
      <c r="I74" s="331">
        <f>SUM(I70:I73)</f>
        <v>0</v>
      </c>
      <c r="J74" s="331">
        <f>SUM(J70:J73)</f>
        <v>2860</v>
      </c>
      <c r="K74" s="34">
        <f t="shared" si="11"/>
        <v>10801</v>
      </c>
      <c r="L74" s="331">
        <f>SUM(L70:L73)</f>
        <v>7841</v>
      </c>
      <c r="M74" s="331">
        <f>SUM(M70:M73)</f>
        <v>100</v>
      </c>
      <c r="N74" s="331">
        <f>SUM(N70:N73)</f>
        <v>0</v>
      </c>
      <c r="O74" s="331">
        <f>SUM(O70:O73)</f>
        <v>2860</v>
      </c>
      <c r="P74" s="34">
        <f t="shared" si="12"/>
        <v>10526</v>
      </c>
      <c r="Q74" s="331">
        <f>SUM(Q70:Q73)</f>
        <v>7449</v>
      </c>
      <c r="R74" s="331">
        <f>SUM(R70:R73)</f>
        <v>100</v>
      </c>
      <c r="S74" s="331">
        <f>SUM(S70:S73)</f>
        <v>0</v>
      </c>
      <c r="T74" s="331">
        <f>SUM(T70:T73)</f>
        <v>2977</v>
      </c>
      <c r="U74" s="34">
        <f t="shared" si="13"/>
        <v>-275</v>
      </c>
      <c r="V74" s="331">
        <f>SUM(V70:V73)</f>
        <v>-392</v>
      </c>
      <c r="W74" s="331">
        <f>SUM(W70:W73)</f>
        <v>0</v>
      </c>
      <c r="X74" s="331">
        <f>SUM(X70:X73)</f>
        <v>0</v>
      </c>
      <c r="Y74" s="330">
        <f>SUM(Y70:Y73)</f>
        <v>117</v>
      </c>
      <c r="Z74" s="564">
        <f t="shared" si="5"/>
        <v>97.453939450050925</v>
      </c>
      <c r="AA74" s="578">
        <f t="shared" si="6"/>
        <v>95.000637673766093</v>
      </c>
      <c r="AB74" s="578">
        <f t="shared" si="7"/>
        <v>100</v>
      </c>
      <c r="AC74" s="578" t="str">
        <f t="shared" si="8"/>
        <v xml:space="preserve"> </v>
      </c>
      <c r="AD74" s="579">
        <f t="shared" si="9"/>
        <v>104.09090909090909</v>
      </c>
    </row>
    <row r="75" spans="2:30" ht="15" thickBot="1" x14ac:dyDescent="0.25">
      <c r="B75" s="339" t="s">
        <v>401</v>
      </c>
      <c r="C75" s="338" t="s">
        <v>506</v>
      </c>
      <c r="D75" s="394" t="s">
        <v>381</v>
      </c>
      <c r="E75" s="35" t="s">
        <v>400</v>
      </c>
      <c r="F75" s="30">
        <f t="shared" si="10"/>
        <v>1782</v>
      </c>
      <c r="G75" s="27">
        <v>1464</v>
      </c>
      <c r="H75" s="27">
        <v>0</v>
      </c>
      <c r="I75" s="27">
        <v>0</v>
      </c>
      <c r="J75" s="27">
        <v>318</v>
      </c>
      <c r="K75" s="30">
        <f t="shared" si="11"/>
        <v>1947</v>
      </c>
      <c r="L75" s="27">
        <v>1629</v>
      </c>
      <c r="M75" s="27">
        <v>0</v>
      </c>
      <c r="N75" s="27">
        <v>0</v>
      </c>
      <c r="O75" s="27">
        <v>318</v>
      </c>
      <c r="P75" s="30">
        <f t="shared" si="12"/>
        <v>1717</v>
      </c>
      <c r="Q75" s="27">
        <v>1391</v>
      </c>
      <c r="R75" s="27">
        <v>0</v>
      </c>
      <c r="S75" s="27">
        <v>0</v>
      </c>
      <c r="T75" s="27">
        <v>326</v>
      </c>
      <c r="U75" s="30">
        <f t="shared" si="13"/>
        <v>-65</v>
      </c>
      <c r="V75" s="27">
        <v>-73</v>
      </c>
      <c r="W75" s="27">
        <v>0</v>
      </c>
      <c r="X75" s="27">
        <v>0</v>
      </c>
      <c r="Y75" s="31">
        <v>8</v>
      </c>
      <c r="Z75" s="559">
        <f t="shared" si="5"/>
        <v>96.352413019079691</v>
      </c>
      <c r="AA75" s="577">
        <f t="shared" si="6"/>
        <v>95.013661202185801</v>
      </c>
      <c r="AB75" s="577" t="str">
        <f t="shared" si="7"/>
        <v xml:space="preserve"> </v>
      </c>
      <c r="AC75" s="577" t="str">
        <f t="shared" si="8"/>
        <v xml:space="preserve"> </v>
      </c>
      <c r="AD75" s="562">
        <f t="shared" si="9"/>
        <v>102.51572327044025</v>
      </c>
    </row>
    <row r="76" spans="2:30" ht="15" thickBot="1" x14ac:dyDescent="0.25">
      <c r="B76" s="339" t="s">
        <v>401</v>
      </c>
      <c r="C76" s="338" t="s">
        <v>514</v>
      </c>
      <c r="D76" s="394" t="s">
        <v>381</v>
      </c>
      <c r="E76" s="35" t="s">
        <v>400</v>
      </c>
      <c r="F76" s="30">
        <f t="shared" si="10"/>
        <v>244</v>
      </c>
      <c r="G76" s="27">
        <v>244</v>
      </c>
      <c r="H76" s="27">
        <v>0</v>
      </c>
      <c r="I76" s="27">
        <v>0</v>
      </c>
      <c r="J76" s="27">
        <v>0</v>
      </c>
      <c r="K76" s="30">
        <f t="shared" si="11"/>
        <v>244</v>
      </c>
      <c r="L76" s="27">
        <v>244</v>
      </c>
      <c r="M76" s="27">
        <v>0</v>
      </c>
      <c r="N76" s="27">
        <v>0</v>
      </c>
      <c r="O76" s="27">
        <v>0</v>
      </c>
      <c r="P76" s="30">
        <f t="shared" si="12"/>
        <v>232</v>
      </c>
      <c r="Q76" s="27">
        <v>232</v>
      </c>
      <c r="R76" s="27">
        <v>0</v>
      </c>
      <c r="S76" s="27">
        <v>0</v>
      </c>
      <c r="T76" s="27">
        <v>0</v>
      </c>
      <c r="U76" s="30">
        <f t="shared" si="13"/>
        <v>-12</v>
      </c>
      <c r="V76" s="27">
        <v>-12</v>
      </c>
      <c r="W76" s="27">
        <v>0</v>
      </c>
      <c r="X76" s="27">
        <v>0</v>
      </c>
      <c r="Y76" s="31">
        <v>0</v>
      </c>
      <c r="Z76" s="559">
        <f t="shared" si="5"/>
        <v>95.081967213114751</v>
      </c>
      <c r="AA76" s="577">
        <f t="shared" si="6"/>
        <v>95.081967213114751</v>
      </c>
      <c r="AB76" s="577" t="str">
        <f t="shared" si="7"/>
        <v xml:space="preserve"> </v>
      </c>
      <c r="AC76" s="577" t="str">
        <f t="shared" si="8"/>
        <v xml:space="preserve"> </v>
      </c>
      <c r="AD76" s="562" t="str">
        <f t="shared" si="9"/>
        <v xml:space="preserve"> </v>
      </c>
    </row>
    <row r="77" spans="2:30" ht="15" thickBot="1" x14ac:dyDescent="0.25">
      <c r="B77" s="339" t="s">
        <v>401</v>
      </c>
      <c r="C77" s="338" t="s">
        <v>498</v>
      </c>
      <c r="D77" s="394" t="s">
        <v>381</v>
      </c>
      <c r="E77" s="35" t="s">
        <v>400</v>
      </c>
      <c r="F77" s="30">
        <f t="shared" si="10"/>
        <v>175</v>
      </c>
      <c r="G77" s="27">
        <v>175</v>
      </c>
      <c r="H77" s="27">
        <v>0</v>
      </c>
      <c r="I77" s="27">
        <v>0</v>
      </c>
      <c r="J77" s="27">
        <v>0</v>
      </c>
      <c r="K77" s="30">
        <f t="shared" si="11"/>
        <v>175</v>
      </c>
      <c r="L77" s="27">
        <v>175</v>
      </c>
      <c r="M77" s="27">
        <v>0</v>
      </c>
      <c r="N77" s="27">
        <v>0</v>
      </c>
      <c r="O77" s="27">
        <v>0</v>
      </c>
      <c r="P77" s="30">
        <f t="shared" si="12"/>
        <v>166</v>
      </c>
      <c r="Q77" s="27">
        <v>166</v>
      </c>
      <c r="R77" s="27">
        <v>0</v>
      </c>
      <c r="S77" s="27">
        <v>0</v>
      </c>
      <c r="T77" s="27">
        <v>0</v>
      </c>
      <c r="U77" s="30">
        <f t="shared" si="13"/>
        <v>-9</v>
      </c>
      <c r="V77" s="27">
        <v>-9</v>
      </c>
      <c r="W77" s="27">
        <v>0</v>
      </c>
      <c r="X77" s="27">
        <v>0</v>
      </c>
      <c r="Y77" s="31">
        <v>0</v>
      </c>
      <c r="Z77" s="559">
        <f t="shared" si="5"/>
        <v>94.857142857142861</v>
      </c>
      <c r="AA77" s="577">
        <f t="shared" si="6"/>
        <v>94.857142857142861</v>
      </c>
      <c r="AB77" s="577" t="str">
        <f t="shared" si="7"/>
        <v xml:space="preserve"> </v>
      </c>
      <c r="AC77" s="577" t="str">
        <f t="shared" si="8"/>
        <v xml:space="preserve"> </v>
      </c>
      <c r="AD77" s="562" t="str">
        <f t="shared" si="9"/>
        <v xml:space="preserve"> </v>
      </c>
    </row>
    <row r="78" spans="2:30" ht="15.75" thickBot="1" x14ac:dyDescent="0.25">
      <c r="B78" s="336" t="s">
        <v>401</v>
      </c>
      <c r="C78" s="335"/>
      <c r="D78" s="393" t="s">
        <v>381</v>
      </c>
      <c r="E78" s="333" t="s">
        <v>400</v>
      </c>
      <c r="F78" s="34">
        <f t="shared" ref="F78:F100" si="14">SUM(G78:J78)</f>
        <v>2201</v>
      </c>
      <c r="G78" s="331">
        <f>SUM(G75:G77)</f>
        <v>1883</v>
      </c>
      <c r="H78" s="331">
        <f>SUM(H75:H77)</f>
        <v>0</v>
      </c>
      <c r="I78" s="331">
        <f>SUM(I75:I77)</f>
        <v>0</v>
      </c>
      <c r="J78" s="331">
        <f>SUM(J75:J77)</f>
        <v>318</v>
      </c>
      <c r="K78" s="34">
        <f t="shared" ref="K78:K100" si="15">SUM(L78:O78)</f>
        <v>2366</v>
      </c>
      <c r="L78" s="331">
        <f>SUM(L75:L77)</f>
        <v>2048</v>
      </c>
      <c r="M78" s="331">
        <f>SUM(M75:M77)</f>
        <v>0</v>
      </c>
      <c r="N78" s="331">
        <f>SUM(N75:N77)</f>
        <v>0</v>
      </c>
      <c r="O78" s="331">
        <f>SUM(O75:O77)</f>
        <v>318</v>
      </c>
      <c r="P78" s="34">
        <f t="shared" ref="P78:P100" si="16">SUM(Q78:T78)</f>
        <v>2115</v>
      </c>
      <c r="Q78" s="331">
        <f>SUM(Q75:Q77)</f>
        <v>1789</v>
      </c>
      <c r="R78" s="331">
        <f>SUM(R75:R77)</f>
        <v>0</v>
      </c>
      <c r="S78" s="331">
        <f>SUM(S75:S77)</f>
        <v>0</v>
      </c>
      <c r="T78" s="331">
        <f>SUM(T75:T77)</f>
        <v>326</v>
      </c>
      <c r="U78" s="34">
        <f t="shared" ref="U78:U100" si="17">SUM(V78:Y78)</f>
        <v>-86</v>
      </c>
      <c r="V78" s="331">
        <f>SUM(V75:V77)</f>
        <v>-94</v>
      </c>
      <c r="W78" s="331">
        <f>SUM(W75:W77)</f>
        <v>0</v>
      </c>
      <c r="X78" s="331">
        <f>SUM(X75:X77)</f>
        <v>0</v>
      </c>
      <c r="Y78" s="330">
        <f>SUM(Y75:Y77)</f>
        <v>8</v>
      </c>
      <c r="Z78" s="564">
        <f t="shared" si="5"/>
        <v>96.092685143116768</v>
      </c>
      <c r="AA78" s="578">
        <f t="shared" si="6"/>
        <v>95.007966011683493</v>
      </c>
      <c r="AB78" s="578" t="str">
        <f t="shared" si="7"/>
        <v xml:space="preserve"> </v>
      </c>
      <c r="AC78" s="578" t="str">
        <f t="shared" si="8"/>
        <v xml:space="preserve"> </v>
      </c>
      <c r="AD78" s="579">
        <f t="shared" si="9"/>
        <v>102.51572327044025</v>
      </c>
    </row>
    <row r="79" spans="2:30" ht="15" thickBot="1" x14ac:dyDescent="0.25">
      <c r="B79" s="339" t="s">
        <v>399</v>
      </c>
      <c r="C79" s="338" t="s">
        <v>514</v>
      </c>
      <c r="D79" s="394" t="s">
        <v>381</v>
      </c>
      <c r="E79" s="35" t="s">
        <v>398</v>
      </c>
      <c r="F79" s="30">
        <f t="shared" si="14"/>
        <v>1267</v>
      </c>
      <c r="G79" s="27">
        <v>1127</v>
      </c>
      <c r="H79" s="27">
        <v>0</v>
      </c>
      <c r="I79" s="27">
        <v>0</v>
      </c>
      <c r="J79" s="27">
        <v>140</v>
      </c>
      <c r="K79" s="30">
        <f t="shared" si="15"/>
        <v>1267</v>
      </c>
      <c r="L79" s="27">
        <v>1127</v>
      </c>
      <c r="M79" s="27">
        <v>0</v>
      </c>
      <c r="N79" s="27">
        <v>0</v>
      </c>
      <c r="O79" s="27">
        <v>140</v>
      </c>
      <c r="P79" s="30">
        <f t="shared" si="16"/>
        <v>1294</v>
      </c>
      <c r="Q79" s="27">
        <v>1146</v>
      </c>
      <c r="R79" s="27">
        <v>0</v>
      </c>
      <c r="S79" s="27">
        <v>0</v>
      </c>
      <c r="T79" s="27">
        <v>148</v>
      </c>
      <c r="U79" s="30">
        <f t="shared" si="17"/>
        <v>27</v>
      </c>
      <c r="V79" s="27">
        <v>19</v>
      </c>
      <c r="W79" s="27">
        <v>0</v>
      </c>
      <c r="X79" s="27">
        <v>0</v>
      </c>
      <c r="Y79" s="31">
        <v>8</v>
      </c>
      <c r="Z79" s="559">
        <f t="shared" ref="Z79:Z101" si="18">IF(P79=0," ",IF(F79=0," ",P79/F79*100))</f>
        <v>102.13101815311761</v>
      </c>
      <c r="AA79" s="577">
        <f t="shared" ref="AA79:AA101" si="19">IF(Q79=0," ",IF(G79=0," ",Q79/G79*100))</f>
        <v>101.68589174800356</v>
      </c>
      <c r="AB79" s="577" t="str">
        <f t="shared" ref="AB79:AB101" si="20">IF(R79=0," ",IF(H79=0," ",R79/H79*100))</f>
        <v xml:space="preserve"> </v>
      </c>
      <c r="AC79" s="577" t="str">
        <f t="shared" ref="AC79:AC101" si="21">IF(S79=0," ",IF(I79=0," ",S79/I79*100))</f>
        <v xml:space="preserve"> </v>
      </c>
      <c r="AD79" s="562">
        <f t="shared" ref="AD79:AD101" si="22">IF(T79=0," ",IF(J79=0," ",T79/J79*100))</f>
        <v>105.71428571428572</v>
      </c>
    </row>
    <row r="80" spans="2:30" ht="15" thickBot="1" x14ac:dyDescent="0.25">
      <c r="B80" s="339" t="s">
        <v>399</v>
      </c>
      <c r="C80" s="338" t="s">
        <v>498</v>
      </c>
      <c r="D80" s="394" t="s">
        <v>381</v>
      </c>
      <c r="E80" s="35" t="s">
        <v>398</v>
      </c>
      <c r="F80" s="30">
        <f t="shared" si="14"/>
        <v>247</v>
      </c>
      <c r="G80" s="27">
        <v>200</v>
      </c>
      <c r="H80" s="27">
        <v>0</v>
      </c>
      <c r="I80" s="27">
        <v>0</v>
      </c>
      <c r="J80" s="27">
        <v>47</v>
      </c>
      <c r="K80" s="30">
        <f t="shared" si="15"/>
        <v>247</v>
      </c>
      <c r="L80" s="27">
        <v>200</v>
      </c>
      <c r="M80" s="27">
        <v>0</v>
      </c>
      <c r="N80" s="27">
        <v>0</v>
      </c>
      <c r="O80" s="27">
        <v>47</v>
      </c>
      <c r="P80" s="30">
        <f t="shared" si="16"/>
        <v>258</v>
      </c>
      <c r="Q80" s="27">
        <v>190</v>
      </c>
      <c r="R80" s="27">
        <v>0</v>
      </c>
      <c r="S80" s="27">
        <v>0</v>
      </c>
      <c r="T80" s="27">
        <v>68</v>
      </c>
      <c r="U80" s="30">
        <f t="shared" si="17"/>
        <v>11</v>
      </c>
      <c r="V80" s="27">
        <v>-10</v>
      </c>
      <c r="W80" s="27">
        <v>0</v>
      </c>
      <c r="X80" s="27">
        <v>0</v>
      </c>
      <c r="Y80" s="31">
        <v>21</v>
      </c>
      <c r="Z80" s="559">
        <f t="shared" si="18"/>
        <v>104.45344129554657</v>
      </c>
      <c r="AA80" s="577">
        <f t="shared" si="19"/>
        <v>95</v>
      </c>
      <c r="AB80" s="577" t="str">
        <f t="shared" si="20"/>
        <v xml:space="preserve"> </v>
      </c>
      <c r="AC80" s="577" t="str">
        <f t="shared" si="21"/>
        <v xml:space="preserve"> </v>
      </c>
      <c r="AD80" s="562">
        <f t="shared" si="22"/>
        <v>144.68085106382981</v>
      </c>
    </row>
    <row r="81" spans="2:30" ht="15" thickBot="1" x14ac:dyDescent="0.25">
      <c r="B81" s="339" t="s">
        <v>399</v>
      </c>
      <c r="C81" s="338" t="s">
        <v>519</v>
      </c>
      <c r="D81" s="394" t="s">
        <v>381</v>
      </c>
      <c r="E81" s="35" t="s">
        <v>398</v>
      </c>
      <c r="F81" s="30">
        <f t="shared" si="14"/>
        <v>416</v>
      </c>
      <c r="G81" s="27">
        <v>290</v>
      </c>
      <c r="H81" s="27">
        <v>0</v>
      </c>
      <c r="I81" s="27">
        <v>0</v>
      </c>
      <c r="J81" s="27">
        <v>126</v>
      </c>
      <c r="K81" s="30">
        <f t="shared" si="15"/>
        <v>416</v>
      </c>
      <c r="L81" s="27">
        <v>290</v>
      </c>
      <c r="M81" s="27">
        <v>0</v>
      </c>
      <c r="N81" s="27">
        <v>0</v>
      </c>
      <c r="O81" s="27">
        <v>126</v>
      </c>
      <c r="P81" s="30">
        <f t="shared" si="16"/>
        <v>329</v>
      </c>
      <c r="Q81" s="27">
        <v>200</v>
      </c>
      <c r="R81" s="27">
        <v>0</v>
      </c>
      <c r="S81" s="27">
        <v>0</v>
      </c>
      <c r="T81" s="27">
        <v>129</v>
      </c>
      <c r="U81" s="30">
        <f t="shared" si="17"/>
        <v>-87</v>
      </c>
      <c r="V81" s="27">
        <v>-90</v>
      </c>
      <c r="W81" s="27">
        <v>0</v>
      </c>
      <c r="X81" s="27">
        <v>0</v>
      </c>
      <c r="Y81" s="31">
        <v>3</v>
      </c>
      <c r="Z81" s="559">
        <f t="shared" si="18"/>
        <v>79.086538461538453</v>
      </c>
      <c r="AA81" s="577">
        <f t="shared" si="19"/>
        <v>68.965517241379317</v>
      </c>
      <c r="AB81" s="577" t="str">
        <f t="shared" si="20"/>
        <v xml:space="preserve"> </v>
      </c>
      <c r="AC81" s="577" t="str">
        <f t="shared" si="21"/>
        <v xml:space="preserve"> </v>
      </c>
      <c r="AD81" s="562">
        <f t="shared" si="22"/>
        <v>102.38095238095238</v>
      </c>
    </row>
    <row r="82" spans="2:30" ht="15.75" thickBot="1" x14ac:dyDescent="0.25">
      <c r="B82" s="336" t="s">
        <v>399</v>
      </c>
      <c r="C82" s="335"/>
      <c r="D82" s="393" t="s">
        <v>381</v>
      </c>
      <c r="E82" s="333" t="s">
        <v>398</v>
      </c>
      <c r="F82" s="34">
        <f t="shared" si="14"/>
        <v>1930</v>
      </c>
      <c r="G82" s="331">
        <f>SUM(G79:G81)</f>
        <v>1617</v>
      </c>
      <c r="H82" s="331">
        <f>SUM(H79:H81)</f>
        <v>0</v>
      </c>
      <c r="I82" s="331">
        <f>SUM(I79:I81)</f>
        <v>0</v>
      </c>
      <c r="J82" s="331">
        <f>SUM(J79:J81)</f>
        <v>313</v>
      </c>
      <c r="K82" s="34">
        <f t="shared" si="15"/>
        <v>1930</v>
      </c>
      <c r="L82" s="331">
        <f>SUM(L79:L81)</f>
        <v>1617</v>
      </c>
      <c r="M82" s="331">
        <f>SUM(M79:M81)</f>
        <v>0</v>
      </c>
      <c r="N82" s="331">
        <f>SUM(N79:N81)</f>
        <v>0</v>
      </c>
      <c r="O82" s="331">
        <f>SUM(O79:O81)</f>
        <v>313</v>
      </c>
      <c r="P82" s="34">
        <f t="shared" si="16"/>
        <v>1881</v>
      </c>
      <c r="Q82" s="331">
        <f>SUM(Q79:Q81)</f>
        <v>1536</v>
      </c>
      <c r="R82" s="331">
        <f>SUM(R79:R81)</f>
        <v>0</v>
      </c>
      <c r="S82" s="331">
        <f>SUM(S79:S81)</f>
        <v>0</v>
      </c>
      <c r="T82" s="331">
        <f>SUM(T79:T81)</f>
        <v>345</v>
      </c>
      <c r="U82" s="34">
        <f t="shared" si="17"/>
        <v>-49</v>
      </c>
      <c r="V82" s="331">
        <f>SUM(V79:V81)</f>
        <v>-81</v>
      </c>
      <c r="W82" s="331">
        <f>SUM(W79:W81)</f>
        <v>0</v>
      </c>
      <c r="X82" s="331">
        <f>SUM(X79:X81)</f>
        <v>0</v>
      </c>
      <c r="Y82" s="330">
        <f>SUM(Y79:Y81)</f>
        <v>32</v>
      </c>
      <c r="Z82" s="564">
        <f t="shared" si="18"/>
        <v>97.461139896373055</v>
      </c>
      <c r="AA82" s="578">
        <f t="shared" si="19"/>
        <v>94.990723562152141</v>
      </c>
      <c r="AB82" s="578" t="str">
        <f t="shared" si="20"/>
        <v xml:space="preserve"> </v>
      </c>
      <c r="AC82" s="578" t="str">
        <f t="shared" si="21"/>
        <v xml:space="preserve"> </v>
      </c>
      <c r="AD82" s="579">
        <f t="shared" si="22"/>
        <v>110.22364217252397</v>
      </c>
    </row>
    <row r="83" spans="2:30" ht="15" thickBot="1" x14ac:dyDescent="0.25">
      <c r="B83" s="339" t="s">
        <v>397</v>
      </c>
      <c r="C83" s="338" t="s">
        <v>502</v>
      </c>
      <c r="D83" s="394" t="s">
        <v>381</v>
      </c>
      <c r="E83" s="35" t="s">
        <v>396</v>
      </c>
      <c r="F83" s="30">
        <f t="shared" si="14"/>
        <v>82</v>
      </c>
      <c r="G83" s="27">
        <v>82</v>
      </c>
      <c r="H83" s="27">
        <v>0</v>
      </c>
      <c r="I83" s="27">
        <v>0</v>
      </c>
      <c r="J83" s="27">
        <v>0</v>
      </c>
      <c r="K83" s="30">
        <f t="shared" si="15"/>
        <v>82</v>
      </c>
      <c r="L83" s="27">
        <v>82</v>
      </c>
      <c r="M83" s="27">
        <v>0</v>
      </c>
      <c r="N83" s="27">
        <v>0</v>
      </c>
      <c r="O83" s="27">
        <v>0</v>
      </c>
      <c r="P83" s="30">
        <f t="shared" si="16"/>
        <v>78</v>
      </c>
      <c r="Q83" s="27">
        <v>78</v>
      </c>
      <c r="R83" s="27">
        <v>0</v>
      </c>
      <c r="S83" s="27">
        <v>0</v>
      </c>
      <c r="T83" s="27">
        <v>0</v>
      </c>
      <c r="U83" s="30">
        <f t="shared" si="17"/>
        <v>-4</v>
      </c>
      <c r="V83" s="27">
        <v>-4</v>
      </c>
      <c r="W83" s="27">
        <v>0</v>
      </c>
      <c r="X83" s="27">
        <v>0</v>
      </c>
      <c r="Y83" s="31">
        <v>0</v>
      </c>
      <c r="Z83" s="559">
        <f t="shared" si="18"/>
        <v>95.121951219512198</v>
      </c>
      <c r="AA83" s="577">
        <f t="shared" si="19"/>
        <v>95.121951219512198</v>
      </c>
      <c r="AB83" s="577" t="str">
        <f t="shared" si="20"/>
        <v xml:space="preserve"> </v>
      </c>
      <c r="AC83" s="577" t="str">
        <f t="shared" si="21"/>
        <v xml:space="preserve"> </v>
      </c>
      <c r="AD83" s="562" t="str">
        <f t="shared" si="22"/>
        <v xml:space="preserve"> </v>
      </c>
    </row>
    <row r="84" spans="2:30" ht="15.75" thickBot="1" x14ac:dyDescent="0.25">
      <c r="B84" s="336" t="s">
        <v>397</v>
      </c>
      <c r="C84" s="335"/>
      <c r="D84" s="393" t="s">
        <v>381</v>
      </c>
      <c r="E84" s="333" t="s">
        <v>396</v>
      </c>
      <c r="F84" s="34">
        <f t="shared" si="14"/>
        <v>82</v>
      </c>
      <c r="G84" s="331">
        <f>G83</f>
        <v>82</v>
      </c>
      <c r="H84" s="331">
        <f>H83</f>
        <v>0</v>
      </c>
      <c r="I84" s="331">
        <f>I83</f>
        <v>0</v>
      </c>
      <c r="J84" s="331">
        <f>J83</f>
        <v>0</v>
      </c>
      <c r="K84" s="30">
        <f t="shared" si="15"/>
        <v>82</v>
      </c>
      <c r="L84" s="331">
        <f>L83</f>
        <v>82</v>
      </c>
      <c r="M84" s="331">
        <f>M83</f>
        <v>0</v>
      </c>
      <c r="N84" s="331">
        <f>N83</f>
        <v>0</v>
      </c>
      <c r="O84" s="331">
        <f>O83</f>
        <v>0</v>
      </c>
      <c r="P84" s="34">
        <f t="shared" si="16"/>
        <v>78</v>
      </c>
      <c r="Q84" s="331">
        <f>Q83</f>
        <v>78</v>
      </c>
      <c r="R84" s="331">
        <f>R83</f>
        <v>0</v>
      </c>
      <c r="S84" s="331">
        <f>S83</f>
        <v>0</v>
      </c>
      <c r="T84" s="331">
        <f>T83</f>
        <v>0</v>
      </c>
      <c r="U84" s="34">
        <f t="shared" si="17"/>
        <v>-4</v>
      </c>
      <c r="V84" s="331">
        <f>V83</f>
        <v>-4</v>
      </c>
      <c r="W84" s="331">
        <f>W83</f>
        <v>0</v>
      </c>
      <c r="X84" s="331">
        <f>X83</f>
        <v>0</v>
      </c>
      <c r="Y84" s="330">
        <f>Y83</f>
        <v>0</v>
      </c>
      <c r="Z84" s="564">
        <f t="shared" si="18"/>
        <v>95.121951219512198</v>
      </c>
      <c r="AA84" s="578">
        <f t="shared" si="19"/>
        <v>95.121951219512198</v>
      </c>
      <c r="AB84" s="578" t="str">
        <f t="shared" si="20"/>
        <v xml:space="preserve"> </v>
      </c>
      <c r="AC84" s="578" t="str">
        <f t="shared" si="21"/>
        <v xml:space="preserve"> </v>
      </c>
      <c r="AD84" s="579" t="str">
        <f t="shared" si="22"/>
        <v xml:space="preserve"> </v>
      </c>
    </row>
    <row r="85" spans="2:30" ht="15" thickBot="1" x14ac:dyDescent="0.25">
      <c r="B85" s="339" t="s">
        <v>395</v>
      </c>
      <c r="C85" s="338" t="s">
        <v>502</v>
      </c>
      <c r="D85" s="394" t="s">
        <v>381</v>
      </c>
      <c r="E85" s="35" t="s">
        <v>394</v>
      </c>
      <c r="F85" s="30">
        <f t="shared" si="14"/>
        <v>240</v>
      </c>
      <c r="G85" s="27">
        <v>188</v>
      </c>
      <c r="H85" s="27">
        <v>0</v>
      </c>
      <c r="I85" s="27">
        <v>0</v>
      </c>
      <c r="J85" s="27">
        <v>52</v>
      </c>
      <c r="K85" s="30">
        <f t="shared" si="15"/>
        <v>240</v>
      </c>
      <c r="L85" s="27">
        <v>188</v>
      </c>
      <c r="M85" s="27">
        <v>0</v>
      </c>
      <c r="N85" s="27">
        <v>0</v>
      </c>
      <c r="O85" s="27">
        <v>52</v>
      </c>
      <c r="P85" s="30">
        <f t="shared" si="16"/>
        <v>204</v>
      </c>
      <c r="Q85" s="27">
        <v>179</v>
      </c>
      <c r="R85" s="27">
        <v>0</v>
      </c>
      <c r="S85" s="27">
        <v>0</v>
      </c>
      <c r="T85" s="27">
        <v>25</v>
      </c>
      <c r="U85" s="30">
        <f t="shared" si="17"/>
        <v>-36</v>
      </c>
      <c r="V85" s="27">
        <v>-9</v>
      </c>
      <c r="W85" s="27">
        <v>0</v>
      </c>
      <c r="X85" s="27">
        <v>0</v>
      </c>
      <c r="Y85" s="31">
        <v>-27</v>
      </c>
      <c r="Z85" s="559">
        <f t="shared" si="18"/>
        <v>85</v>
      </c>
      <c r="AA85" s="577">
        <f t="shared" si="19"/>
        <v>95.212765957446805</v>
      </c>
      <c r="AB85" s="577" t="str">
        <f t="shared" si="20"/>
        <v xml:space="preserve"> </v>
      </c>
      <c r="AC85" s="577" t="str">
        <f t="shared" si="21"/>
        <v xml:space="preserve"> </v>
      </c>
      <c r="AD85" s="562">
        <f t="shared" si="22"/>
        <v>48.07692307692308</v>
      </c>
    </row>
    <row r="86" spans="2:30" ht="15.75" thickBot="1" x14ac:dyDescent="0.25">
      <c r="B86" s="336" t="s">
        <v>395</v>
      </c>
      <c r="C86" s="335"/>
      <c r="D86" s="393" t="s">
        <v>381</v>
      </c>
      <c r="E86" s="333" t="s">
        <v>394</v>
      </c>
      <c r="F86" s="34">
        <f t="shared" si="14"/>
        <v>240</v>
      </c>
      <c r="G86" s="331">
        <f>G85</f>
        <v>188</v>
      </c>
      <c r="H86" s="331">
        <f>H85</f>
        <v>0</v>
      </c>
      <c r="I86" s="331">
        <f>I85</f>
        <v>0</v>
      </c>
      <c r="J86" s="331">
        <f>J85</f>
        <v>52</v>
      </c>
      <c r="K86" s="34">
        <f t="shared" si="15"/>
        <v>240</v>
      </c>
      <c r="L86" s="331">
        <f>L85</f>
        <v>188</v>
      </c>
      <c r="M86" s="331">
        <f>M85</f>
        <v>0</v>
      </c>
      <c r="N86" s="331">
        <f>N85</f>
        <v>0</v>
      </c>
      <c r="O86" s="331">
        <f>O85</f>
        <v>52</v>
      </c>
      <c r="P86" s="34">
        <f t="shared" si="16"/>
        <v>204</v>
      </c>
      <c r="Q86" s="331">
        <f>Q85</f>
        <v>179</v>
      </c>
      <c r="R86" s="331">
        <f>R85</f>
        <v>0</v>
      </c>
      <c r="S86" s="331">
        <f>S85</f>
        <v>0</v>
      </c>
      <c r="T86" s="331">
        <f>T85</f>
        <v>25</v>
      </c>
      <c r="U86" s="34">
        <f t="shared" si="17"/>
        <v>-36</v>
      </c>
      <c r="V86" s="331">
        <f>V85</f>
        <v>-9</v>
      </c>
      <c r="W86" s="331">
        <f>W85</f>
        <v>0</v>
      </c>
      <c r="X86" s="331">
        <f>X85</f>
        <v>0</v>
      </c>
      <c r="Y86" s="330">
        <f>Y85</f>
        <v>-27</v>
      </c>
      <c r="Z86" s="564">
        <f t="shared" si="18"/>
        <v>85</v>
      </c>
      <c r="AA86" s="578">
        <f t="shared" si="19"/>
        <v>95.212765957446805</v>
      </c>
      <c r="AB86" s="578" t="str">
        <f t="shared" si="20"/>
        <v xml:space="preserve"> </v>
      </c>
      <c r="AC86" s="578" t="str">
        <f t="shared" si="21"/>
        <v xml:space="preserve"> </v>
      </c>
      <c r="AD86" s="579">
        <f t="shared" si="22"/>
        <v>48.07692307692308</v>
      </c>
    </row>
    <row r="87" spans="2:30" ht="15" thickBot="1" x14ac:dyDescent="0.25">
      <c r="B87" s="339" t="s">
        <v>393</v>
      </c>
      <c r="C87" s="338" t="s">
        <v>502</v>
      </c>
      <c r="D87" s="394" t="s">
        <v>381</v>
      </c>
      <c r="E87" s="35" t="s">
        <v>392</v>
      </c>
      <c r="F87" s="30">
        <f t="shared" si="14"/>
        <v>25</v>
      </c>
      <c r="G87" s="27">
        <v>25</v>
      </c>
      <c r="H87" s="27">
        <v>0</v>
      </c>
      <c r="I87" s="27">
        <v>0</v>
      </c>
      <c r="J87" s="27">
        <v>0</v>
      </c>
      <c r="K87" s="30">
        <f t="shared" si="15"/>
        <v>25</v>
      </c>
      <c r="L87" s="27">
        <v>25</v>
      </c>
      <c r="M87" s="27">
        <v>0</v>
      </c>
      <c r="N87" s="27">
        <v>0</v>
      </c>
      <c r="O87" s="27">
        <v>0</v>
      </c>
      <c r="P87" s="30">
        <f t="shared" si="16"/>
        <v>24</v>
      </c>
      <c r="Q87" s="27">
        <v>24</v>
      </c>
      <c r="R87" s="27">
        <v>0</v>
      </c>
      <c r="S87" s="27">
        <v>0</v>
      </c>
      <c r="T87" s="27">
        <v>0</v>
      </c>
      <c r="U87" s="30">
        <f t="shared" si="17"/>
        <v>-1</v>
      </c>
      <c r="V87" s="27">
        <v>-1</v>
      </c>
      <c r="W87" s="27">
        <v>0</v>
      </c>
      <c r="X87" s="27">
        <v>0</v>
      </c>
      <c r="Y87" s="31">
        <v>0</v>
      </c>
      <c r="Z87" s="559">
        <f t="shared" si="18"/>
        <v>96</v>
      </c>
      <c r="AA87" s="577">
        <f t="shared" si="19"/>
        <v>96</v>
      </c>
      <c r="AB87" s="577" t="str">
        <f t="shared" si="20"/>
        <v xml:space="preserve"> </v>
      </c>
      <c r="AC87" s="577" t="str">
        <f t="shared" si="21"/>
        <v xml:space="preserve"> </v>
      </c>
      <c r="AD87" s="562" t="str">
        <f t="shared" si="22"/>
        <v xml:space="preserve"> </v>
      </c>
    </row>
    <row r="88" spans="2:30" ht="15.75" thickBot="1" x14ac:dyDescent="0.25">
      <c r="B88" s="336" t="s">
        <v>393</v>
      </c>
      <c r="C88" s="335"/>
      <c r="D88" s="393" t="s">
        <v>381</v>
      </c>
      <c r="E88" s="333" t="s">
        <v>392</v>
      </c>
      <c r="F88" s="34">
        <f t="shared" si="14"/>
        <v>25</v>
      </c>
      <c r="G88" s="331">
        <f>G87</f>
        <v>25</v>
      </c>
      <c r="H88" s="331">
        <f>H87</f>
        <v>0</v>
      </c>
      <c r="I88" s="331">
        <f>I87</f>
        <v>0</v>
      </c>
      <c r="J88" s="331">
        <f>J87</f>
        <v>0</v>
      </c>
      <c r="K88" s="34">
        <f t="shared" si="15"/>
        <v>25</v>
      </c>
      <c r="L88" s="331">
        <f>L87</f>
        <v>25</v>
      </c>
      <c r="M88" s="331">
        <f>M87</f>
        <v>0</v>
      </c>
      <c r="N88" s="331">
        <f>N87</f>
        <v>0</v>
      </c>
      <c r="O88" s="331">
        <f>O87</f>
        <v>0</v>
      </c>
      <c r="P88" s="34">
        <f t="shared" si="16"/>
        <v>24</v>
      </c>
      <c r="Q88" s="331">
        <f>Q87</f>
        <v>24</v>
      </c>
      <c r="R88" s="331">
        <f>R87</f>
        <v>0</v>
      </c>
      <c r="S88" s="331">
        <f>S87</f>
        <v>0</v>
      </c>
      <c r="T88" s="331">
        <f>T87</f>
        <v>0</v>
      </c>
      <c r="U88" s="34">
        <f t="shared" si="17"/>
        <v>-1</v>
      </c>
      <c r="V88" s="331">
        <f>V87</f>
        <v>-1</v>
      </c>
      <c r="W88" s="331">
        <f>W87</f>
        <v>0</v>
      </c>
      <c r="X88" s="331">
        <f>X87</f>
        <v>0</v>
      </c>
      <c r="Y88" s="330">
        <f>Y87</f>
        <v>0</v>
      </c>
      <c r="Z88" s="564">
        <f t="shared" si="18"/>
        <v>96</v>
      </c>
      <c r="AA88" s="578">
        <f t="shared" si="19"/>
        <v>96</v>
      </c>
      <c r="AB88" s="578" t="str">
        <f t="shared" si="20"/>
        <v xml:space="preserve"> </v>
      </c>
      <c r="AC88" s="578" t="str">
        <f t="shared" si="21"/>
        <v xml:space="preserve"> </v>
      </c>
      <c r="AD88" s="579" t="str">
        <f t="shared" si="22"/>
        <v xml:space="preserve"> </v>
      </c>
    </row>
    <row r="89" spans="2:30" ht="15" thickBot="1" x14ac:dyDescent="0.25">
      <c r="B89" s="339" t="s">
        <v>391</v>
      </c>
      <c r="C89" s="338" t="s">
        <v>502</v>
      </c>
      <c r="D89" s="394" t="s">
        <v>381</v>
      </c>
      <c r="E89" s="35" t="s">
        <v>390</v>
      </c>
      <c r="F89" s="30">
        <f t="shared" si="14"/>
        <v>330</v>
      </c>
      <c r="G89" s="27">
        <v>61</v>
      </c>
      <c r="H89" s="27">
        <v>0</v>
      </c>
      <c r="I89" s="27">
        <v>0</v>
      </c>
      <c r="J89" s="27">
        <v>269</v>
      </c>
      <c r="K89" s="30">
        <f t="shared" si="15"/>
        <v>330</v>
      </c>
      <c r="L89" s="27">
        <v>61</v>
      </c>
      <c r="M89" s="27">
        <v>0</v>
      </c>
      <c r="N89" s="27">
        <v>0</v>
      </c>
      <c r="O89" s="27">
        <v>269</v>
      </c>
      <c r="P89" s="30">
        <f t="shared" si="16"/>
        <v>305</v>
      </c>
      <c r="Q89" s="27">
        <v>58</v>
      </c>
      <c r="R89" s="27">
        <v>0</v>
      </c>
      <c r="S89" s="27">
        <v>0</v>
      </c>
      <c r="T89" s="27">
        <v>247</v>
      </c>
      <c r="U89" s="30">
        <f t="shared" si="17"/>
        <v>-25</v>
      </c>
      <c r="V89" s="27">
        <v>-3</v>
      </c>
      <c r="W89" s="27">
        <v>0</v>
      </c>
      <c r="X89" s="27">
        <v>0</v>
      </c>
      <c r="Y89" s="31">
        <v>-22</v>
      </c>
      <c r="Z89" s="559">
        <f t="shared" si="18"/>
        <v>92.424242424242422</v>
      </c>
      <c r="AA89" s="577">
        <f t="shared" si="19"/>
        <v>95.081967213114751</v>
      </c>
      <c r="AB89" s="577" t="str">
        <f t="shared" si="20"/>
        <v xml:space="preserve"> </v>
      </c>
      <c r="AC89" s="577" t="str">
        <f t="shared" si="21"/>
        <v xml:space="preserve"> </v>
      </c>
      <c r="AD89" s="562">
        <f t="shared" si="22"/>
        <v>91.821561338289953</v>
      </c>
    </row>
    <row r="90" spans="2:30" ht="15.75" thickBot="1" x14ac:dyDescent="0.25">
      <c r="B90" s="336" t="s">
        <v>391</v>
      </c>
      <c r="C90" s="335"/>
      <c r="D90" s="393" t="s">
        <v>381</v>
      </c>
      <c r="E90" s="333" t="s">
        <v>390</v>
      </c>
      <c r="F90" s="34">
        <f t="shared" si="14"/>
        <v>330</v>
      </c>
      <c r="G90" s="331">
        <f>G89</f>
        <v>61</v>
      </c>
      <c r="H90" s="331">
        <f>H89</f>
        <v>0</v>
      </c>
      <c r="I90" s="331">
        <f>I89</f>
        <v>0</v>
      </c>
      <c r="J90" s="331">
        <f>J89</f>
        <v>269</v>
      </c>
      <c r="K90" s="34">
        <f t="shared" si="15"/>
        <v>330</v>
      </c>
      <c r="L90" s="331">
        <f>L89</f>
        <v>61</v>
      </c>
      <c r="M90" s="331">
        <f>M89</f>
        <v>0</v>
      </c>
      <c r="N90" s="331">
        <f>N89</f>
        <v>0</v>
      </c>
      <c r="O90" s="331">
        <f>O89</f>
        <v>269</v>
      </c>
      <c r="P90" s="34">
        <f t="shared" si="16"/>
        <v>305</v>
      </c>
      <c r="Q90" s="331">
        <f>Q89</f>
        <v>58</v>
      </c>
      <c r="R90" s="331">
        <f>R89</f>
        <v>0</v>
      </c>
      <c r="S90" s="331">
        <f>S89</f>
        <v>0</v>
      </c>
      <c r="T90" s="331">
        <f>T89</f>
        <v>247</v>
      </c>
      <c r="U90" s="34">
        <f t="shared" si="17"/>
        <v>-25</v>
      </c>
      <c r="V90" s="331">
        <f>V89</f>
        <v>-3</v>
      </c>
      <c r="W90" s="331">
        <f>W89</f>
        <v>0</v>
      </c>
      <c r="X90" s="331">
        <f>X89</f>
        <v>0</v>
      </c>
      <c r="Y90" s="330">
        <f>Y89</f>
        <v>-22</v>
      </c>
      <c r="Z90" s="564">
        <f t="shared" si="18"/>
        <v>92.424242424242422</v>
      </c>
      <c r="AA90" s="578">
        <f t="shared" si="19"/>
        <v>95.081967213114751</v>
      </c>
      <c r="AB90" s="578" t="str">
        <f t="shared" si="20"/>
        <v xml:space="preserve"> </v>
      </c>
      <c r="AC90" s="578" t="str">
        <f t="shared" si="21"/>
        <v xml:space="preserve"> </v>
      </c>
      <c r="AD90" s="579">
        <f t="shared" si="22"/>
        <v>91.821561338289953</v>
      </c>
    </row>
    <row r="91" spans="2:30" ht="15" thickBot="1" x14ac:dyDescent="0.25">
      <c r="B91" s="339" t="s">
        <v>389</v>
      </c>
      <c r="C91" s="338" t="s">
        <v>502</v>
      </c>
      <c r="D91" s="394" t="s">
        <v>381</v>
      </c>
      <c r="E91" s="35" t="s">
        <v>538</v>
      </c>
      <c r="F91" s="30">
        <f t="shared" si="14"/>
        <v>69</v>
      </c>
      <c r="G91" s="27">
        <v>51</v>
      </c>
      <c r="H91" s="27">
        <v>0</v>
      </c>
      <c r="I91" s="27">
        <v>0</v>
      </c>
      <c r="J91" s="27">
        <v>18</v>
      </c>
      <c r="K91" s="30">
        <f t="shared" si="15"/>
        <v>69</v>
      </c>
      <c r="L91" s="27">
        <v>51</v>
      </c>
      <c r="M91" s="27">
        <v>0</v>
      </c>
      <c r="N91" s="27">
        <v>0</v>
      </c>
      <c r="O91" s="27">
        <v>18</v>
      </c>
      <c r="P91" s="30">
        <f t="shared" si="16"/>
        <v>60</v>
      </c>
      <c r="Q91" s="27">
        <v>48</v>
      </c>
      <c r="R91" s="27">
        <v>0</v>
      </c>
      <c r="S91" s="27">
        <v>0</v>
      </c>
      <c r="T91" s="27">
        <v>12</v>
      </c>
      <c r="U91" s="30">
        <f t="shared" si="17"/>
        <v>-9</v>
      </c>
      <c r="V91" s="27">
        <v>-3</v>
      </c>
      <c r="W91" s="27">
        <v>0</v>
      </c>
      <c r="X91" s="27">
        <v>0</v>
      </c>
      <c r="Y91" s="31">
        <v>-6</v>
      </c>
      <c r="Z91" s="559">
        <f t="shared" si="18"/>
        <v>86.956521739130437</v>
      </c>
      <c r="AA91" s="577">
        <f t="shared" si="19"/>
        <v>94.117647058823522</v>
      </c>
      <c r="AB91" s="577" t="str">
        <f t="shared" si="20"/>
        <v xml:space="preserve"> </v>
      </c>
      <c r="AC91" s="577" t="str">
        <f t="shared" si="21"/>
        <v xml:space="preserve"> </v>
      </c>
      <c r="AD91" s="562">
        <f t="shared" si="22"/>
        <v>66.666666666666657</v>
      </c>
    </row>
    <row r="92" spans="2:30" ht="26.25" thickBot="1" x14ac:dyDescent="0.25">
      <c r="B92" s="336" t="s">
        <v>389</v>
      </c>
      <c r="C92" s="335"/>
      <c r="D92" s="393" t="s">
        <v>381</v>
      </c>
      <c r="E92" s="333" t="s">
        <v>538</v>
      </c>
      <c r="F92" s="34">
        <f t="shared" si="14"/>
        <v>69</v>
      </c>
      <c r="G92" s="331">
        <f>G91</f>
        <v>51</v>
      </c>
      <c r="H92" s="331">
        <f>H91</f>
        <v>0</v>
      </c>
      <c r="I92" s="331">
        <f>I91</f>
        <v>0</v>
      </c>
      <c r="J92" s="331">
        <f>J91</f>
        <v>18</v>
      </c>
      <c r="K92" s="34">
        <f t="shared" si="15"/>
        <v>69</v>
      </c>
      <c r="L92" s="331">
        <f>L91</f>
        <v>51</v>
      </c>
      <c r="M92" s="331">
        <f>M91</f>
        <v>0</v>
      </c>
      <c r="N92" s="331">
        <f>N91</f>
        <v>0</v>
      </c>
      <c r="O92" s="331">
        <f>O91</f>
        <v>18</v>
      </c>
      <c r="P92" s="34">
        <f t="shared" si="16"/>
        <v>60</v>
      </c>
      <c r="Q92" s="331">
        <f>Q91</f>
        <v>48</v>
      </c>
      <c r="R92" s="331">
        <f>R91</f>
        <v>0</v>
      </c>
      <c r="S92" s="331">
        <f>S91</f>
        <v>0</v>
      </c>
      <c r="T92" s="331">
        <f>T91</f>
        <v>12</v>
      </c>
      <c r="U92" s="34">
        <f t="shared" si="17"/>
        <v>-9</v>
      </c>
      <c r="V92" s="331">
        <f>V91</f>
        <v>-3</v>
      </c>
      <c r="W92" s="331">
        <f>W91</f>
        <v>0</v>
      </c>
      <c r="X92" s="331">
        <f>X91</f>
        <v>0</v>
      </c>
      <c r="Y92" s="330">
        <f>Y91</f>
        <v>-6</v>
      </c>
      <c r="Z92" s="564">
        <f t="shared" si="18"/>
        <v>86.956521739130437</v>
      </c>
      <c r="AA92" s="578">
        <f t="shared" si="19"/>
        <v>94.117647058823522</v>
      </c>
      <c r="AB92" s="578" t="str">
        <f t="shared" si="20"/>
        <v xml:space="preserve"> </v>
      </c>
      <c r="AC92" s="578" t="str">
        <f t="shared" si="21"/>
        <v xml:space="preserve"> </v>
      </c>
      <c r="AD92" s="579">
        <f t="shared" si="22"/>
        <v>66.666666666666657</v>
      </c>
    </row>
    <row r="93" spans="2:30" ht="15" thickBot="1" x14ac:dyDescent="0.25">
      <c r="B93" s="339" t="s">
        <v>388</v>
      </c>
      <c r="C93" s="338" t="s">
        <v>501</v>
      </c>
      <c r="D93" s="394" t="s">
        <v>381</v>
      </c>
      <c r="E93" s="35" t="s">
        <v>387</v>
      </c>
      <c r="F93" s="30">
        <f t="shared" si="14"/>
        <v>817</v>
      </c>
      <c r="G93" s="27">
        <v>726</v>
      </c>
      <c r="H93" s="27">
        <v>0</v>
      </c>
      <c r="I93" s="27">
        <v>0</v>
      </c>
      <c r="J93" s="27">
        <v>91</v>
      </c>
      <c r="K93" s="30">
        <f t="shared" si="15"/>
        <v>817</v>
      </c>
      <c r="L93" s="27">
        <v>726</v>
      </c>
      <c r="M93" s="27">
        <v>0</v>
      </c>
      <c r="N93" s="27">
        <v>0</v>
      </c>
      <c r="O93" s="27">
        <v>91</v>
      </c>
      <c r="P93" s="30">
        <f t="shared" si="16"/>
        <v>781</v>
      </c>
      <c r="Q93" s="27">
        <v>690</v>
      </c>
      <c r="R93" s="27">
        <v>0</v>
      </c>
      <c r="S93" s="27">
        <v>0</v>
      </c>
      <c r="T93" s="27">
        <v>91</v>
      </c>
      <c r="U93" s="30">
        <f t="shared" si="17"/>
        <v>-36</v>
      </c>
      <c r="V93" s="27">
        <v>-36</v>
      </c>
      <c r="W93" s="27">
        <v>0</v>
      </c>
      <c r="X93" s="27">
        <v>0</v>
      </c>
      <c r="Y93" s="31">
        <v>0</v>
      </c>
      <c r="Z93" s="559">
        <f t="shared" si="18"/>
        <v>95.593635250917998</v>
      </c>
      <c r="AA93" s="577">
        <f t="shared" si="19"/>
        <v>95.041322314049594</v>
      </c>
      <c r="AB93" s="577" t="str">
        <f t="shared" si="20"/>
        <v xml:space="preserve"> </v>
      </c>
      <c r="AC93" s="577" t="str">
        <f t="shared" si="21"/>
        <v xml:space="preserve"> </v>
      </c>
      <c r="AD93" s="562">
        <f t="shared" si="22"/>
        <v>100</v>
      </c>
    </row>
    <row r="94" spans="2:30" ht="15.75" thickBot="1" x14ac:dyDescent="0.25">
      <c r="B94" s="336" t="s">
        <v>388</v>
      </c>
      <c r="C94" s="335"/>
      <c r="D94" s="393" t="s">
        <v>381</v>
      </c>
      <c r="E94" s="333" t="s">
        <v>387</v>
      </c>
      <c r="F94" s="34">
        <f t="shared" si="14"/>
        <v>817</v>
      </c>
      <c r="G94" s="331">
        <f>G93</f>
        <v>726</v>
      </c>
      <c r="H94" s="331">
        <f>H93</f>
        <v>0</v>
      </c>
      <c r="I94" s="331">
        <f>I93</f>
        <v>0</v>
      </c>
      <c r="J94" s="331">
        <f>J93</f>
        <v>91</v>
      </c>
      <c r="K94" s="34">
        <f t="shared" si="15"/>
        <v>817</v>
      </c>
      <c r="L94" s="331">
        <f>L93</f>
        <v>726</v>
      </c>
      <c r="M94" s="331">
        <f>M93</f>
        <v>0</v>
      </c>
      <c r="N94" s="331">
        <f>N93</f>
        <v>0</v>
      </c>
      <c r="O94" s="331">
        <f>O93</f>
        <v>91</v>
      </c>
      <c r="P94" s="34">
        <f t="shared" si="16"/>
        <v>781</v>
      </c>
      <c r="Q94" s="331">
        <f>Q93</f>
        <v>690</v>
      </c>
      <c r="R94" s="331">
        <f>R93</f>
        <v>0</v>
      </c>
      <c r="S94" s="331">
        <f>S93</f>
        <v>0</v>
      </c>
      <c r="T94" s="331">
        <f>T93</f>
        <v>91</v>
      </c>
      <c r="U94" s="34">
        <f t="shared" si="17"/>
        <v>-36</v>
      </c>
      <c r="V94" s="331">
        <f>V93</f>
        <v>-36</v>
      </c>
      <c r="W94" s="331">
        <f>W93</f>
        <v>0</v>
      </c>
      <c r="X94" s="331">
        <f>X93</f>
        <v>0</v>
      </c>
      <c r="Y94" s="330">
        <f>Y93</f>
        <v>0</v>
      </c>
      <c r="Z94" s="564">
        <f t="shared" si="18"/>
        <v>95.593635250917998</v>
      </c>
      <c r="AA94" s="578">
        <f t="shared" si="19"/>
        <v>95.041322314049594</v>
      </c>
      <c r="AB94" s="578" t="str">
        <f t="shared" si="20"/>
        <v xml:space="preserve"> </v>
      </c>
      <c r="AC94" s="578" t="str">
        <f t="shared" si="21"/>
        <v xml:space="preserve"> </v>
      </c>
      <c r="AD94" s="579">
        <f t="shared" si="22"/>
        <v>100</v>
      </c>
    </row>
    <row r="95" spans="2:30" ht="15" thickBot="1" x14ac:dyDescent="0.25">
      <c r="B95" s="339" t="s">
        <v>386</v>
      </c>
      <c r="C95" s="338" t="s">
        <v>500</v>
      </c>
      <c r="D95" s="394" t="s">
        <v>381</v>
      </c>
      <c r="E95" s="35" t="s">
        <v>385</v>
      </c>
      <c r="F95" s="30">
        <f t="shared" si="14"/>
        <v>2045</v>
      </c>
      <c r="G95" s="27">
        <v>1806</v>
      </c>
      <c r="H95" s="27">
        <v>0</v>
      </c>
      <c r="I95" s="27">
        <v>0</v>
      </c>
      <c r="J95" s="27">
        <v>239</v>
      </c>
      <c r="K95" s="30">
        <f t="shared" si="15"/>
        <v>2045</v>
      </c>
      <c r="L95" s="27">
        <v>1806</v>
      </c>
      <c r="M95" s="27">
        <v>0</v>
      </c>
      <c r="N95" s="27">
        <v>0</v>
      </c>
      <c r="O95" s="27">
        <v>239</v>
      </c>
      <c r="P95" s="30">
        <f t="shared" si="16"/>
        <v>1927</v>
      </c>
      <c r="Q95" s="27">
        <v>1716</v>
      </c>
      <c r="R95" s="27">
        <v>0</v>
      </c>
      <c r="S95" s="27">
        <v>0</v>
      </c>
      <c r="T95" s="27">
        <v>211</v>
      </c>
      <c r="U95" s="30">
        <f t="shared" si="17"/>
        <v>-118</v>
      </c>
      <c r="V95" s="27">
        <v>-90</v>
      </c>
      <c r="W95" s="27">
        <v>0</v>
      </c>
      <c r="X95" s="27">
        <v>0</v>
      </c>
      <c r="Y95" s="31">
        <v>-28</v>
      </c>
      <c r="Z95" s="559">
        <f t="shared" si="18"/>
        <v>94.229828850855739</v>
      </c>
      <c r="AA95" s="577">
        <f t="shared" si="19"/>
        <v>95.016611295681059</v>
      </c>
      <c r="AB95" s="577" t="str">
        <f t="shared" si="20"/>
        <v xml:space="preserve"> </v>
      </c>
      <c r="AC95" s="577" t="str">
        <f t="shared" si="21"/>
        <v xml:space="preserve"> </v>
      </c>
      <c r="AD95" s="562">
        <f t="shared" si="22"/>
        <v>88.28451882845188</v>
      </c>
    </row>
    <row r="96" spans="2:30" ht="15.75" thickBot="1" x14ac:dyDescent="0.25">
      <c r="B96" s="336" t="s">
        <v>386</v>
      </c>
      <c r="C96" s="335"/>
      <c r="D96" s="393" t="s">
        <v>381</v>
      </c>
      <c r="E96" s="333" t="s">
        <v>385</v>
      </c>
      <c r="F96" s="34">
        <f t="shared" si="14"/>
        <v>2045</v>
      </c>
      <c r="G96" s="331">
        <f>G95</f>
        <v>1806</v>
      </c>
      <c r="H96" s="331">
        <f>H95</f>
        <v>0</v>
      </c>
      <c r="I96" s="331">
        <f>I95</f>
        <v>0</v>
      </c>
      <c r="J96" s="331">
        <f>J95</f>
        <v>239</v>
      </c>
      <c r="K96" s="34">
        <f t="shared" si="15"/>
        <v>2045</v>
      </c>
      <c r="L96" s="331">
        <f>L95</f>
        <v>1806</v>
      </c>
      <c r="M96" s="331">
        <f>M95</f>
        <v>0</v>
      </c>
      <c r="N96" s="331">
        <f>N95</f>
        <v>0</v>
      </c>
      <c r="O96" s="331">
        <f>O95</f>
        <v>239</v>
      </c>
      <c r="P96" s="34">
        <f t="shared" si="16"/>
        <v>1927</v>
      </c>
      <c r="Q96" s="331">
        <f>Q95</f>
        <v>1716</v>
      </c>
      <c r="R96" s="331">
        <f>R95</f>
        <v>0</v>
      </c>
      <c r="S96" s="331">
        <f>S95</f>
        <v>0</v>
      </c>
      <c r="T96" s="331">
        <f>T95</f>
        <v>211</v>
      </c>
      <c r="U96" s="34">
        <f t="shared" si="17"/>
        <v>-118</v>
      </c>
      <c r="V96" s="331">
        <f>V95</f>
        <v>-90</v>
      </c>
      <c r="W96" s="331">
        <f>W95</f>
        <v>0</v>
      </c>
      <c r="X96" s="331">
        <f>X95</f>
        <v>0</v>
      </c>
      <c r="Y96" s="330">
        <f>Y95</f>
        <v>-28</v>
      </c>
      <c r="Z96" s="564">
        <f t="shared" si="18"/>
        <v>94.229828850855739</v>
      </c>
      <c r="AA96" s="578">
        <f t="shared" si="19"/>
        <v>95.016611295681059</v>
      </c>
      <c r="AB96" s="578" t="str">
        <f t="shared" si="20"/>
        <v xml:space="preserve"> </v>
      </c>
      <c r="AC96" s="578" t="str">
        <f t="shared" si="21"/>
        <v xml:space="preserve"> </v>
      </c>
      <c r="AD96" s="579">
        <f t="shared" si="22"/>
        <v>88.28451882845188</v>
      </c>
    </row>
    <row r="97" spans="2:30" ht="15" thickBot="1" x14ac:dyDescent="0.25">
      <c r="B97" s="339" t="s">
        <v>384</v>
      </c>
      <c r="C97" s="338" t="s">
        <v>500</v>
      </c>
      <c r="D97" s="394" t="s">
        <v>381</v>
      </c>
      <c r="E97" s="35" t="s">
        <v>383</v>
      </c>
      <c r="F97" s="30">
        <f t="shared" si="14"/>
        <v>1647</v>
      </c>
      <c r="G97" s="27">
        <v>1344</v>
      </c>
      <c r="H97" s="27">
        <v>0</v>
      </c>
      <c r="I97" s="27">
        <v>0</v>
      </c>
      <c r="J97" s="27">
        <v>303</v>
      </c>
      <c r="K97" s="30">
        <f t="shared" si="15"/>
        <v>1647</v>
      </c>
      <c r="L97" s="27">
        <v>1344</v>
      </c>
      <c r="M97" s="27">
        <v>0</v>
      </c>
      <c r="N97" s="27">
        <v>0</v>
      </c>
      <c r="O97" s="27">
        <v>303</v>
      </c>
      <c r="P97" s="30">
        <f t="shared" si="16"/>
        <v>1626</v>
      </c>
      <c r="Q97" s="27">
        <v>1277</v>
      </c>
      <c r="R97" s="27">
        <v>0</v>
      </c>
      <c r="S97" s="27">
        <v>0</v>
      </c>
      <c r="T97" s="27">
        <v>349</v>
      </c>
      <c r="U97" s="30">
        <f t="shared" si="17"/>
        <v>-21</v>
      </c>
      <c r="V97" s="27">
        <v>-67</v>
      </c>
      <c r="W97" s="27">
        <v>0</v>
      </c>
      <c r="X97" s="27">
        <v>0</v>
      </c>
      <c r="Y97" s="31">
        <v>46</v>
      </c>
      <c r="Z97" s="559">
        <f t="shared" si="18"/>
        <v>98.724954462659369</v>
      </c>
      <c r="AA97" s="577">
        <f t="shared" si="19"/>
        <v>95.014880952380949</v>
      </c>
      <c r="AB97" s="577" t="str">
        <f t="shared" si="20"/>
        <v xml:space="preserve"> </v>
      </c>
      <c r="AC97" s="577" t="str">
        <f t="shared" si="21"/>
        <v xml:space="preserve"> </v>
      </c>
      <c r="AD97" s="562">
        <f t="shared" si="22"/>
        <v>115.18151815181518</v>
      </c>
    </row>
    <row r="98" spans="2:30" ht="15.75" thickBot="1" x14ac:dyDescent="0.25">
      <c r="B98" s="336" t="s">
        <v>384</v>
      </c>
      <c r="C98" s="335"/>
      <c r="D98" s="393" t="s">
        <v>381</v>
      </c>
      <c r="E98" s="333" t="s">
        <v>383</v>
      </c>
      <c r="F98" s="34">
        <f t="shared" si="14"/>
        <v>1647</v>
      </c>
      <c r="G98" s="331">
        <f>G97</f>
        <v>1344</v>
      </c>
      <c r="H98" s="331">
        <f>H97</f>
        <v>0</v>
      </c>
      <c r="I98" s="331">
        <f>I97</f>
        <v>0</v>
      </c>
      <c r="J98" s="331">
        <f>J97</f>
        <v>303</v>
      </c>
      <c r="K98" s="34">
        <f t="shared" si="15"/>
        <v>1647</v>
      </c>
      <c r="L98" s="331">
        <f>L97</f>
        <v>1344</v>
      </c>
      <c r="M98" s="331">
        <f>M97</f>
        <v>0</v>
      </c>
      <c r="N98" s="331">
        <f>N97</f>
        <v>0</v>
      </c>
      <c r="O98" s="331">
        <f>O97</f>
        <v>303</v>
      </c>
      <c r="P98" s="34">
        <f t="shared" si="16"/>
        <v>1626</v>
      </c>
      <c r="Q98" s="331">
        <f>Q97</f>
        <v>1277</v>
      </c>
      <c r="R98" s="331">
        <f>R97</f>
        <v>0</v>
      </c>
      <c r="S98" s="331">
        <f>S97</f>
        <v>0</v>
      </c>
      <c r="T98" s="331">
        <f>T97</f>
        <v>349</v>
      </c>
      <c r="U98" s="34">
        <f t="shared" si="17"/>
        <v>-21</v>
      </c>
      <c r="V98" s="331">
        <f>V97</f>
        <v>-67</v>
      </c>
      <c r="W98" s="331">
        <f>W97</f>
        <v>0</v>
      </c>
      <c r="X98" s="331">
        <f>X97</f>
        <v>0</v>
      </c>
      <c r="Y98" s="330">
        <f>Y97</f>
        <v>46</v>
      </c>
      <c r="Z98" s="564">
        <f t="shared" si="18"/>
        <v>98.724954462659369</v>
      </c>
      <c r="AA98" s="578">
        <f t="shared" si="19"/>
        <v>95.014880952380949</v>
      </c>
      <c r="AB98" s="578" t="str">
        <f t="shared" si="20"/>
        <v xml:space="preserve"> </v>
      </c>
      <c r="AC98" s="578" t="str">
        <f t="shared" si="21"/>
        <v xml:space="preserve"> </v>
      </c>
      <c r="AD98" s="579">
        <f t="shared" si="22"/>
        <v>115.18151815181518</v>
      </c>
    </row>
    <row r="99" spans="2:30" ht="15" thickBot="1" x14ac:dyDescent="0.25">
      <c r="B99" s="339" t="s">
        <v>382</v>
      </c>
      <c r="C99" s="338" t="s">
        <v>500</v>
      </c>
      <c r="D99" s="394" t="s">
        <v>381</v>
      </c>
      <c r="E99" s="35" t="s">
        <v>380</v>
      </c>
      <c r="F99" s="30">
        <f t="shared" si="14"/>
        <v>1726</v>
      </c>
      <c r="G99" s="27">
        <v>1691</v>
      </c>
      <c r="H99" s="27">
        <v>0</v>
      </c>
      <c r="I99" s="27">
        <v>0</v>
      </c>
      <c r="J99" s="27">
        <v>35</v>
      </c>
      <c r="K99" s="30">
        <f t="shared" si="15"/>
        <v>1726</v>
      </c>
      <c r="L99" s="27">
        <v>1691</v>
      </c>
      <c r="M99" s="27">
        <v>0</v>
      </c>
      <c r="N99" s="27">
        <v>0</v>
      </c>
      <c r="O99" s="27">
        <v>35</v>
      </c>
      <c r="P99" s="30">
        <f t="shared" si="16"/>
        <v>1639</v>
      </c>
      <c r="Q99" s="27">
        <v>1606</v>
      </c>
      <c r="R99" s="27">
        <v>0</v>
      </c>
      <c r="S99" s="27">
        <v>0</v>
      </c>
      <c r="T99" s="27">
        <v>33</v>
      </c>
      <c r="U99" s="30">
        <f t="shared" si="17"/>
        <v>-87</v>
      </c>
      <c r="V99" s="27">
        <v>-85</v>
      </c>
      <c r="W99" s="27">
        <v>0</v>
      </c>
      <c r="X99" s="27">
        <v>0</v>
      </c>
      <c r="Y99" s="31">
        <v>-2</v>
      </c>
      <c r="Z99" s="559">
        <f t="shared" si="18"/>
        <v>94.959443800695254</v>
      </c>
      <c r="AA99" s="577">
        <f t="shared" si="19"/>
        <v>94.973388527498528</v>
      </c>
      <c r="AB99" s="577" t="str">
        <f t="shared" si="20"/>
        <v xml:space="preserve"> </v>
      </c>
      <c r="AC99" s="577" t="str">
        <f t="shared" si="21"/>
        <v xml:space="preserve"> </v>
      </c>
      <c r="AD99" s="562">
        <f t="shared" si="22"/>
        <v>94.285714285714278</v>
      </c>
    </row>
    <row r="100" spans="2:30" ht="15.75" thickBot="1" x14ac:dyDescent="0.25">
      <c r="B100" s="336" t="s">
        <v>382</v>
      </c>
      <c r="C100" s="335"/>
      <c r="D100" s="393" t="s">
        <v>381</v>
      </c>
      <c r="E100" s="333" t="s">
        <v>380</v>
      </c>
      <c r="F100" s="34">
        <f t="shared" si="14"/>
        <v>1726</v>
      </c>
      <c r="G100" s="331">
        <f>G99</f>
        <v>1691</v>
      </c>
      <c r="H100" s="331">
        <f>H99</f>
        <v>0</v>
      </c>
      <c r="I100" s="331">
        <f>I99</f>
        <v>0</v>
      </c>
      <c r="J100" s="331">
        <f>J99</f>
        <v>35</v>
      </c>
      <c r="K100" s="34">
        <f t="shared" si="15"/>
        <v>1726</v>
      </c>
      <c r="L100" s="331">
        <v>1691</v>
      </c>
      <c r="M100" s="331">
        <v>0</v>
      </c>
      <c r="N100" s="331">
        <v>0</v>
      </c>
      <c r="O100" s="331">
        <v>35</v>
      </c>
      <c r="P100" s="34">
        <f t="shared" si="16"/>
        <v>1639</v>
      </c>
      <c r="Q100" s="331">
        <v>1606</v>
      </c>
      <c r="R100" s="331">
        <v>0</v>
      </c>
      <c r="S100" s="331">
        <v>0</v>
      </c>
      <c r="T100" s="331">
        <v>33</v>
      </c>
      <c r="U100" s="34">
        <f t="shared" si="17"/>
        <v>-87</v>
      </c>
      <c r="V100" s="331">
        <v>-85</v>
      </c>
      <c r="W100" s="331">
        <v>0</v>
      </c>
      <c r="X100" s="331">
        <v>0</v>
      </c>
      <c r="Y100" s="330">
        <v>-2</v>
      </c>
      <c r="Z100" s="564">
        <f t="shared" si="18"/>
        <v>94.959443800695254</v>
      </c>
      <c r="AA100" s="578">
        <f t="shared" si="19"/>
        <v>94.973388527498528</v>
      </c>
      <c r="AB100" s="578" t="str">
        <f t="shared" si="20"/>
        <v xml:space="preserve"> </v>
      </c>
      <c r="AC100" s="578" t="str">
        <f t="shared" si="21"/>
        <v xml:space="preserve"> </v>
      </c>
      <c r="AD100" s="579">
        <f t="shared" si="22"/>
        <v>94.285714285714278</v>
      </c>
    </row>
    <row r="101" spans="2:30" ht="15.75" thickBot="1" x14ac:dyDescent="0.25">
      <c r="B101" s="716" t="s">
        <v>623</v>
      </c>
      <c r="C101" s="717"/>
      <c r="D101" s="32"/>
      <c r="E101" s="392" t="s">
        <v>379</v>
      </c>
      <c r="F101" s="34">
        <f t="shared" ref="F101:Y101" si="23">F100+F98+F96+F94+F92+F90+F88+F86+F84+F82+F78+F74+F69+F64+F62+F60+F55+F51+F46+F44+F41+F39+F34+F31+F28+F25+F23+F20+F15</f>
        <v>89031</v>
      </c>
      <c r="G101" s="70">
        <f t="shared" si="23"/>
        <v>72818</v>
      </c>
      <c r="H101" s="70">
        <f t="shared" si="23"/>
        <v>100</v>
      </c>
      <c r="I101" s="70">
        <f t="shared" si="23"/>
        <v>0</v>
      </c>
      <c r="J101" s="70">
        <f t="shared" si="23"/>
        <v>16113</v>
      </c>
      <c r="K101" s="34">
        <f t="shared" si="23"/>
        <v>89196</v>
      </c>
      <c r="L101" s="70">
        <f t="shared" si="23"/>
        <v>72922.820000000007</v>
      </c>
      <c r="M101" s="70">
        <f t="shared" si="23"/>
        <v>160.18</v>
      </c>
      <c r="N101" s="70">
        <f t="shared" si="23"/>
        <v>0</v>
      </c>
      <c r="O101" s="70">
        <f t="shared" si="23"/>
        <v>16113</v>
      </c>
      <c r="P101" s="34">
        <f t="shared" si="23"/>
        <v>85419</v>
      </c>
      <c r="Q101" s="70">
        <f t="shared" si="23"/>
        <v>69206</v>
      </c>
      <c r="R101" s="70">
        <f t="shared" si="23"/>
        <v>100</v>
      </c>
      <c r="S101" s="70">
        <f t="shared" si="23"/>
        <v>0</v>
      </c>
      <c r="T101" s="70">
        <f t="shared" si="23"/>
        <v>16113</v>
      </c>
      <c r="U101" s="34">
        <f>U100+U98+U96+U94+U92+U90+U88+U86+U84+U82+U78+U74+U69+U64+U62+U60+U55+U51+U46+U44+U41+U39+U34+U31+U28+U25+U23+U20+U15</f>
        <v>-3612</v>
      </c>
      <c r="V101" s="70">
        <f t="shared" si="23"/>
        <v>-3612</v>
      </c>
      <c r="W101" s="70">
        <f t="shared" si="23"/>
        <v>0</v>
      </c>
      <c r="X101" s="70">
        <f t="shared" si="23"/>
        <v>0</v>
      </c>
      <c r="Y101" s="69">
        <f t="shared" si="23"/>
        <v>0</v>
      </c>
      <c r="Z101" s="564">
        <f t="shared" si="18"/>
        <v>95.942986150891258</v>
      </c>
      <c r="AA101" s="580">
        <f t="shared" si="19"/>
        <v>95.039687989233428</v>
      </c>
      <c r="AB101" s="580">
        <f t="shared" si="20"/>
        <v>100</v>
      </c>
      <c r="AC101" s="580" t="str">
        <f t="shared" si="21"/>
        <v xml:space="preserve"> </v>
      </c>
      <c r="AD101" s="567">
        <f t="shared" si="22"/>
        <v>100</v>
      </c>
    </row>
  </sheetData>
  <mergeCells count="12">
    <mergeCell ref="Z9:AD9"/>
    <mergeCell ref="AA13:AD13"/>
    <mergeCell ref="B101:C101"/>
    <mergeCell ref="F9:J9"/>
    <mergeCell ref="K9:O9"/>
    <mergeCell ref="P9:T9"/>
    <mergeCell ref="U9:Y9"/>
    <mergeCell ref="B10:C10"/>
    <mergeCell ref="G13:J13"/>
    <mergeCell ref="L13:O13"/>
    <mergeCell ref="Q13:T13"/>
    <mergeCell ref="V13:Y13"/>
  </mergeCells>
  <pageMargins left="0.70866141732283472" right="0.70866141732283472" top="0.78740157480314965" bottom="0.78740157480314965" header="0.31496062992125984" footer="0.31496062992125984"/>
  <pageSetup paperSize="9" scale="4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1:AD58"/>
  <sheetViews>
    <sheetView showGridLines="0" workbookViewId="0">
      <selection activeCell="Z15" sqref="Z15:AD15"/>
    </sheetView>
  </sheetViews>
  <sheetFormatPr defaultRowHeight="12.75" x14ac:dyDescent="0.2"/>
  <cols>
    <col min="1" max="1" width="2.7109375" customWidth="1"/>
    <col min="2" max="2" width="14.7109375" customWidth="1"/>
    <col min="3" max="3" width="6.7109375" customWidth="1"/>
    <col min="4" max="4" width="10.7109375" hidden="1" customWidth="1"/>
    <col min="5" max="5" width="45.7109375" customWidth="1"/>
    <col min="6" max="6" width="12.7109375" style="397" customWidth="1"/>
    <col min="7" max="10" width="9.7109375" style="397"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30" width="9.7109375" style="1" customWidth="1"/>
  </cols>
  <sheetData>
    <row r="1" spans="2:30" ht="2.25" customHeight="1" x14ac:dyDescent="0.2"/>
    <row r="2" spans="2:30" ht="21.75" x14ac:dyDescent="0.3">
      <c r="B2" s="2" t="s">
        <v>177</v>
      </c>
      <c r="C2" s="3"/>
      <c r="D2" s="3"/>
      <c r="E2" s="3"/>
      <c r="F2" s="408"/>
      <c r="G2" s="408"/>
      <c r="H2" s="408"/>
      <c r="I2" s="408"/>
      <c r="J2" s="408"/>
      <c r="K2" s="5"/>
      <c r="L2" s="5"/>
      <c r="M2" s="5"/>
      <c r="N2" s="5"/>
      <c r="O2" s="5"/>
      <c r="P2" s="5"/>
      <c r="Q2" s="5"/>
      <c r="R2" s="5"/>
      <c r="S2" s="5"/>
      <c r="T2" s="5"/>
      <c r="U2" s="5"/>
      <c r="V2" s="5"/>
      <c r="W2" s="6" t="s">
        <v>310</v>
      </c>
      <c r="X2" s="5"/>
      <c r="Y2" s="5" t="s">
        <v>211</v>
      </c>
      <c r="Z2" s="5"/>
      <c r="AA2" s="5"/>
      <c r="AB2" s="6" t="s">
        <v>310</v>
      </c>
      <c r="AC2" s="5"/>
      <c r="AD2" s="5" t="s">
        <v>211</v>
      </c>
    </row>
    <row r="3" spans="2:30" ht="3" customHeight="1" x14ac:dyDescent="0.2"/>
    <row r="4" spans="2:30" ht="15.75" x14ac:dyDescent="0.25">
      <c r="B4" s="7" t="s">
        <v>2</v>
      </c>
      <c r="C4" s="7" t="s">
        <v>283</v>
      </c>
      <c r="D4" s="8"/>
      <c r="E4" s="9"/>
      <c r="F4" s="407"/>
      <c r="G4" s="407"/>
      <c r="H4" s="407"/>
      <c r="I4" s="407"/>
      <c r="J4" s="407"/>
      <c r="K4" s="11"/>
      <c r="L4" s="11"/>
      <c r="M4" s="11"/>
      <c r="N4" s="11"/>
      <c r="O4" s="11"/>
      <c r="P4" s="11"/>
      <c r="Q4" s="11"/>
      <c r="R4" s="11"/>
      <c r="S4" s="11"/>
      <c r="T4" s="11"/>
      <c r="U4" s="11"/>
      <c r="V4" s="11"/>
      <c r="W4" s="11"/>
      <c r="X4" s="11"/>
      <c r="Y4" s="11"/>
      <c r="Z4" s="11"/>
      <c r="AA4" s="11"/>
      <c r="AB4" s="11"/>
      <c r="AC4" s="11"/>
      <c r="AD4" s="11"/>
    </row>
    <row r="5" spans="2:30" ht="15.75" x14ac:dyDescent="0.25">
      <c r="B5" s="8"/>
      <c r="C5" s="7" t="s">
        <v>4</v>
      </c>
      <c r="D5" s="8"/>
      <c r="E5" s="9"/>
      <c r="F5" s="407"/>
      <c r="G5" s="407"/>
      <c r="H5" s="407"/>
      <c r="I5" s="407"/>
      <c r="J5" s="407"/>
      <c r="K5" s="11"/>
      <c r="L5" s="11"/>
      <c r="M5" s="11"/>
      <c r="N5" s="11"/>
      <c r="O5" s="11"/>
      <c r="P5" s="11"/>
      <c r="Q5" s="11"/>
      <c r="R5" s="11"/>
      <c r="S5" s="11"/>
      <c r="T5" s="11"/>
      <c r="U5" s="11"/>
      <c r="V5" s="11"/>
      <c r="W5" s="11"/>
      <c r="X5" s="11"/>
      <c r="Y5" s="11"/>
      <c r="Z5" s="11"/>
      <c r="AA5" s="11"/>
      <c r="AB5" s="11"/>
      <c r="AC5" s="11"/>
      <c r="AD5" s="11"/>
    </row>
    <row r="7" spans="2:30" ht="18" x14ac:dyDescent="0.25">
      <c r="B7" s="396" t="s">
        <v>309</v>
      </c>
      <c r="C7" s="12"/>
      <c r="D7" s="12"/>
      <c r="E7" s="12"/>
      <c r="F7" s="406"/>
      <c r="G7" s="406"/>
      <c r="H7" s="406"/>
      <c r="I7" s="406"/>
      <c r="J7" s="406"/>
      <c r="K7" s="13"/>
      <c r="L7" s="13"/>
      <c r="M7" s="13"/>
      <c r="N7" s="13"/>
      <c r="O7" s="13"/>
      <c r="P7" s="13"/>
      <c r="Q7" s="13"/>
      <c r="R7" s="13"/>
      <c r="S7" s="13"/>
      <c r="T7" s="13"/>
      <c r="U7" s="13"/>
      <c r="V7" s="13"/>
      <c r="W7" s="13"/>
      <c r="X7" s="13"/>
      <c r="Y7" s="13"/>
      <c r="Z7" s="13"/>
      <c r="AA7" s="13"/>
      <c r="AB7" s="13"/>
      <c r="AC7" s="13"/>
      <c r="AD7" s="13"/>
    </row>
    <row r="9" spans="2:30" ht="13.5" thickBot="1" x14ac:dyDescent="0.25">
      <c r="B9" s="201"/>
      <c r="C9" s="201"/>
      <c r="D9" s="201"/>
      <c r="E9" s="201"/>
      <c r="F9" s="405"/>
      <c r="G9" s="405"/>
      <c r="H9" s="405"/>
      <c r="I9" s="405"/>
      <c r="J9" s="405"/>
      <c r="K9" s="200"/>
      <c r="L9" s="200"/>
      <c r="M9" s="200"/>
      <c r="N9" s="200"/>
      <c r="O9" s="200"/>
      <c r="P9" s="200"/>
      <c r="Q9" s="200"/>
      <c r="R9" s="200"/>
      <c r="S9" s="200"/>
      <c r="T9" s="200"/>
      <c r="U9" s="200"/>
      <c r="V9" s="200"/>
      <c r="W9" s="200"/>
      <c r="X9" s="200"/>
      <c r="Y9" s="200" t="s">
        <v>5</v>
      </c>
      <c r="Z9" s="200"/>
      <c r="AA9" s="200"/>
      <c r="AB9" s="200"/>
      <c r="AC9" s="200"/>
      <c r="AD9" s="200" t="s">
        <v>5</v>
      </c>
    </row>
    <row r="10" spans="2:30" x14ac:dyDescent="0.2">
      <c r="B10" s="477"/>
      <c r="C10" s="483"/>
      <c r="D10" s="477"/>
      <c r="E10" s="477"/>
      <c r="F10" s="710" t="s">
        <v>548</v>
      </c>
      <c r="G10" s="711"/>
      <c r="H10" s="711"/>
      <c r="I10" s="711"/>
      <c r="J10" s="712"/>
      <c r="K10" s="710" t="s">
        <v>561</v>
      </c>
      <c r="L10" s="711"/>
      <c r="M10" s="711"/>
      <c r="N10" s="711"/>
      <c r="O10" s="712"/>
      <c r="P10" s="710" t="s">
        <v>558</v>
      </c>
      <c r="Q10" s="711"/>
      <c r="R10" s="711"/>
      <c r="S10" s="711"/>
      <c r="T10" s="712"/>
      <c r="U10" s="710" t="s">
        <v>6</v>
      </c>
      <c r="V10" s="711"/>
      <c r="W10" s="711"/>
      <c r="X10" s="711"/>
      <c r="Y10" s="712"/>
      <c r="Z10" s="710" t="s">
        <v>633</v>
      </c>
      <c r="AA10" s="711"/>
      <c r="AB10" s="711"/>
      <c r="AC10" s="711"/>
      <c r="AD10" s="712"/>
    </row>
    <row r="11" spans="2:30" ht="18" customHeight="1" x14ac:dyDescent="0.2">
      <c r="B11" s="718" t="s">
        <v>7</v>
      </c>
      <c r="C11" s="719"/>
      <c r="D11" s="484" t="s">
        <v>8</v>
      </c>
      <c r="E11" s="485" t="s">
        <v>9</v>
      </c>
      <c r="F11" s="486"/>
      <c r="G11" s="487" t="s">
        <v>10</v>
      </c>
      <c r="H11" s="486"/>
      <c r="I11" s="486"/>
      <c r="J11" s="486"/>
      <c r="K11" s="488"/>
      <c r="L11" s="487" t="s">
        <v>10</v>
      </c>
      <c r="M11" s="486"/>
      <c r="N11" s="486"/>
      <c r="O11" s="486"/>
      <c r="P11" s="488"/>
      <c r="Q11" s="487" t="s">
        <v>10</v>
      </c>
      <c r="R11" s="486"/>
      <c r="S11" s="486"/>
      <c r="T11" s="486"/>
      <c r="U11" s="488"/>
      <c r="V11" s="487" t="s">
        <v>10</v>
      </c>
      <c r="W11" s="489"/>
      <c r="X11" s="489"/>
      <c r="Y11" s="490"/>
      <c r="Z11" s="488"/>
      <c r="AA11" s="487" t="s">
        <v>10</v>
      </c>
      <c r="AB11" s="489"/>
      <c r="AC11" s="489"/>
      <c r="AD11" s="490"/>
    </row>
    <row r="12" spans="2:30" ht="48" customHeight="1" x14ac:dyDescent="0.2">
      <c r="B12" s="491"/>
      <c r="C12" s="492"/>
      <c r="D12" s="491"/>
      <c r="E12" s="491"/>
      <c r="F12" s="493" t="s">
        <v>11</v>
      </c>
      <c r="G12" s="494" t="s">
        <v>12</v>
      </c>
      <c r="H12" s="494" t="s">
        <v>13</v>
      </c>
      <c r="I12" s="494" t="s">
        <v>14</v>
      </c>
      <c r="J12" s="494" t="s">
        <v>15</v>
      </c>
      <c r="K12" s="493" t="s">
        <v>11</v>
      </c>
      <c r="L12" s="494" t="s">
        <v>12</v>
      </c>
      <c r="M12" s="494" t="s">
        <v>13</v>
      </c>
      <c r="N12" s="494" t="s">
        <v>14</v>
      </c>
      <c r="O12" s="494" t="s">
        <v>15</v>
      </c>
      <c r="P12" s="493" t="s">
        <v>11</v>
      </c>
      <c r="Q12" s="494" t="s">
        <v>12</v>
      </c>
      <c r="R12" s="494" t="s">
        <v>13</v>
      </c>
      <c r="S12" s="494" t="s">
        <v>14</v>
      </c>
      <c r="T12" s="494" t="s">
        <v>15</v>
      </c>
      <c r="U12" s="493" t="s">
        <v>11</v>
      </c>
      <c r="V12" s="494" t="s">
        <v>12</v>
      </c>
      <c r="W12" s="494" t="s">
        <v>13</v>
      </c>
      <c r="X12" s="494" t="s">
        <v>14</v>
      </c>
      <c r="Y12" s="495" t="s">
        <v>15</v>
      </c>
      <c r="Z12" s="493" t="s">
        <v>11</v>
      </c>
      <c r="AA12" s="494" t="s">
        <v>12</v>
      </c>
      <c r="AB12" s="494" t="s">
        <v>13</v>
      </c>
      <c r="AC12" s="494" t="s">
        <v>14</v>
      </c>
      <c r="AD12" s="495" t="s">
        <v>15</v>
      </c>
    </row>
    <row r="13" spans="2:30" ht="13.5" thickBot="1" x14ac:dyDescent="0.25">
      <c r="B13" s="496" t="s">
        <v>16</v>
      </c>
      <c r="C13" s="497" t="s">
        <v>17</v>
      </c>
      <c r="D13" s="479"/>
      <c r="E13" s="479"/>
      <c r="F13" s="480"/>
      <c r="G13" s="481" t="s">
        <v>18</v>
      </c>
      <c r="H13" s="481" t="s">
        <v>19</v>
      </c>
      <c r="I13" s="481" t="s">
        <v>20</v>
      </c>
      <c r="J13" s="481" t="s">
        <v>21</v>
      </c>
      <c r="K13" s="480"/>
      <c r="L13" s="481" t="s">
        <v>18</v>
      </c>
      <c r="M13" s="481" t="s">
        <v>19</v>
      </c>
      <c r="N13" s="481" t="s">
        <v>20</v>
      </c>
      <c r="O13" s="481" t="s">
        <v>21</v>
      </c>
      <c r="P13" s="480"/>
      <c r="Q13" s="481" t="s">
        <v>18</v>
      </c>
      <c r="R13" s="481" t="s">
        <v>19</v>
      </c>
      <c r="S13" s="481" t="s">
        <v>20</v>
      </c>
      <c r="T13" s="481" t="s">
        <v>21</v>
      </c>
      <c r="U13" s="480"/>
      <c r="V13" s="481" t="s">
        <v>18</v>
      </c>
      <c r="W13" s="481" t="s">
        <v>19</v>
      </c>
      <c r="X13" s="481" t="s">
        <v>20</v>
      </c>
      <c r="Y13" s="482" t="s">
        <v>21</v>
      </c>
      <c r="Z13" s="480"/>
      <c r="AA13" s="481" t="s">
        <v>18</v>
      </c>
      <c r="AB13" s="481" t="s">
        <v>19</v>
      </c>
      <c r="AC13" s="481" t="s">
        <v>20</v>
      </c>
      <c r="AD13" s="482" t="s">
        <v>21</v>
      </c>
    </row>
    <row r="14" spans="2:30" ht="13.5" thickBot="1" x14ac:dyDescent="0.25">
      <c r="B14" s="499"/>
      <c r="C14" s="500"/>
      <c r="D14" s="499"/>
      <c r="E14" s="499"/>
      <c r="F14" s="501" t="s">
        <v>22</v>
      </c>
      <c r="G14" s="713" t="s">
        <v>22</v>
      </c>
      <c r="H14" s="714"/>
      <c r="I14" s="714"/>
      <c r="J14" s="715"/>
      <c r="K14" s="501" t="s">
        <v>22</v>
      </c>
      <c r="L14" s="713" t="s">
        <v>22</v>
      </c>
      <c r="M14" s="714"/>
      <c r="N14" s="714"/>
      <c r="O14" s="715"/>
      <c r="P14" s="501" t="s">
        <v>22</v>
      </c>
      <c r="Q14" s="713" t="s">
        <v>22</v>
      </c>
      <c r="R14" s="714"/>
      <c r="S14" s="714"/>
      <c r="T14" s="715"/>
      <c r="U14" s="501" t="s">
        <v>22</v>
      </c>
      <c r="V14" s="713" t="s">
        <v>22</v>
      </c>
      <c r="W14" s="714"/>
      <c r="X14" s="714"/>
      <c r="Y14" s="715"/>
      <c r="Z14" s="501" t="s">
        <v>22</v>
      </c>
      <c r="AA14" s="713" t="s">
        <v>22</v>
      </c>
      <c r="AB14" s="714"/>
      <c r="AC14" s="714"/>
      <c r="AD14" s="715"/>
    </row>
    <row r="15" spans="2:30" ht="15" thickBot="1" x14ac:dyDescent="0.25">
      <c r="B15" s="339" t="s">
        <v>308</v>
      </c>
      <c r="C15" s="338" t="s">
        <v>521</v>
      </c>
      <c r="D15" s="394" t="s">
        <v>286</v>
      </c>
      <c r="E15" s="35" t="s">
        <v>527</v>
      </c>
      <c r="F15" s="404">
        <f t="shared" ref="F15:F57" si="0">SUM(G15:J15)</f>
        <v>1069</v>
      </c>
      <c r="G15" s="403">
        <v>955</v>
      </c>
      <c r="H15" s="403">
        <v>0</v>
      </c>
      <c r="I15" s="403">
        <v>0</v>
      </c>
      <c r="J15" s="403">
        <v>114</v>
      </c>
      <c r="K15" s="30">
        <f t="shared" ref="K15:K57" si="1">SUM(L15:O15)</f>
        <v>1069</v>
      </c>
      <c r="L15" s="27">
        <v>955</v>
      </c>
      <c r="M15" s="27">
        <v>0</v>
      </c>
      <c r="N15" s="27">
        <v>0</v>
      </c>
      <c r="O15" s="27">
        <v>114</v>
      </c>
      <c r="P15" s="30">
        <f t="shared" ref="P15:P57" si="2">SUM(Q15:T15)</f>
        <v>974</v>
      </c>
      <c r="Q15" s="27">
        <v>860</v>
      </c>
      <c r="R15" s="27">
        <v>0</v>
      </c>
      <c r="S15" s="27">
        <v>0</v>
      </c>
      <c r="T15" s="27">
        <v>114</v>
      </c>
      <c r="U15" s="30">
        <f t="shared" ref="U15:U57" si="3">SUM(V15:Y15)</f>
        <v>-95</v>
      </c>
      <c r="V15" s="27">
        <v>-95</v>
      </c>
      <c r="W15" s="27">
        <v>0</v>
      </c>
      <c r="X15" s="27">
        <v>0</v>
      </c>
      <c r="Y15" s="31">
        <v>0</v>
      </c>
      <c r="Z15" s="559">
        <f>IF(P15=0," ",IF(F15=0," ",P15/F15*100))</f>
        <v>91.113189897100085</v>
      </c>
      <c r="AA15" s="577">
        <f t="shared" ref="AA15:AD15" si="4">IF(Q15=0," ",IF(G15=0," ",Q15/G15*100))</f>
        <v>90.052356020942398</v>
      </c>
      <c r="AB15" s="577" t="str">
        <f t="shared" si="4"/>
        <v xml:space="preserve"> </v>
      </c>
      <c r="AC15" s="577" t="str">
        <f t="shared" si="4"/>
        <v xml:space="preserve"> </v>
      </c>
      <c r="AD15" s="562">
        <f t="shared" si="4"/>
        <v>100</v>
      </c>
    </row>
    <row r="16" spans="2:30" ht="15" thickBot="1" x14ac:dyDescent="0.25">
      <c r="B16" s="339" t="s">
        <v>308</v>
      </c>
      <c r="C16" s="338" t="s">
        <v>516</v>
      </c>
      <c r="D16" s="394" t="s">
        <v>286</v>
      </c>
      <c r="E16" s="35" t="s">
        <v>527</v>
      </c>
      <c r="F16" s="404">
        <f t="shared" si="0"/>
        <v>1665</v>
      </c>
      <c r="G16" s="403">
        <v>1055</v>
      </c>
      <c r="H16" s="403">
        <v>0</v>
      </c>
      <c r="I16" s="403">
        <v>0</v>
      </c>
      <c r="J16" s="403">
        <v>610</v>
      </c>
      <c r="K16" s="30">
        <f t="shared" si="1"/>
        <v>1665</v>
      </c>
      <c r="L16" s="27">
        <v>1055</v>
      </c>
      <c r="M16" s="27">
        <v>0</v>
      </c>
      <c r="N16" s="27">
        <v>0</v>
      </c>
      <c r="O16" s="27">
        <v>610</v>
      </c>
      <c r="P16" s="30">
        <f t="shared" si="2"/>
        <v>1577</v>
      </c>
      <c r="Q16" s="27">
        <v>1000</v>
      </c>
      <c r="R16" s="27">
        <v>0</v>
      </c>
      <c r="S16" s="27">
        <v>0</v>
      </c>
      <c r="T16" s="27">
        <v>577</v>
      </c>
      <c r="U16" s="30">
        <f t="shared" si="3"/>
        <v>-88</v>
      </c>
      <c r="V16" s="27">
        <v>-55</v>
      </c>
      <c r="W16" s="27">
        <v>0</v>
      </c>
      <c r="X16" s="27">
        <v>0</v>
      </c>
      <c r="Y16" s="31">
        <v>-33</v>
      </c>
      <c r="Z16" s="559">
        <f t="shared" ref="Z16:Z58" si="5">IF(P16=0," ",IF(F16=0," ",P16/F16*100))</f>
        <v>94.714714714714717</v>
      </c>
      <c r="AA16" s="577">
        <f t="shared" ref="AA16:AA58" si="6">IF(Q16=0," ",IF(G16=0," ",Q16/G16*100))</f>
        <v>94.786729857819907</v>
      </c>
      <c r="AB16" s="577" t="str">
        <f t="shared" ref="AB16:AB58" si="7">IF(R16=0," ",IF(H16=0," ",R16/H16*100))</f>
        <v xml:space="preserve"> </v>
      </c>
      <c r="AC16" s="577" t="str">
        <f t="shared" ref="AC16:AC58" si="8">IF(S16=0," ",IF(I16=0," ",S16/I16*100))</f>
        <v xml:space="preserve"> </v>
      </c>
      <c r="AD16" s="562">
        <f t="shared" ref="AD16:AD58" si="9">IF(T16=0," ",IF(J16=0," ",T16/J16*100))</f>
        <v>94.590163934426229</v>
      </c>
    </row>
    <row r="17" spans="2:30" ht="15" thickBot="1" x14ac:dyDescent="0.25">
      <c r="B17" s="339" t="s">
        <v>308</v>
      </c>
      <c r="C17" s="338" t="s">
        <v>514</v>
      </c>
      <c r="D17" s="394" t="s">
        <v>286</v>
      </c>
      <c r="E17" s="35" t="s">
        <v>527</v>
      </c>
      <c r="F17" s="404">
        <f t="shared" si="0"/>
        <v>100</v>
      </c>
      <c r="G17" s="403">
        <v>100</v>
      </c>
      <c r="H17" s="403">
        <v>0</v>
      </c>
      <c r="I17" s="403">
        <v>0</v>
      </c>
      <c r="J17" s="403">
        <v>0</v>
      </c>
      <c r="K17" s="30">
        <f t="shared" si="1"/>
        <v>100</v>
      </c>
      <c r="L17" s="27">
        <v>100</v>
      </c>
      <c r="M17" s="27">
        <v>0</v>
      </c>
      <c r="N17" s="27">
        <v>0</v>
      </c>
      <c r="O17" s="27">
        <v>0</v>
      </c>
      <c r="P17" s="30">
        <f t="shared" si="2"/>
        <v>135</v>
      </c>
      <c r="Q17" s="27">
        <v>135</v>
      </c>
      <c r="R17" s="27">
        <v>0</v>
      </c>
      <c r="S17" s="27">
        <v>0</v>
      </c>
      <c r="T17" s="27">
        <v>0</v>
      </c>
      <c r="U17" s="30">
        <f t="shared" si="3"/>
        <v>35</v>
      </c>
      <c r="V17" s="27">
        <v>35</v>
      </c>
      <c r="W17" s="27">
        <v>0</v>
      </c>
      <c r="X17" s="27">
        <v>0</v>
      </c>
      <c r="Y17" s="31">
        <v>0</v>
      </c>
      <c r="Z17" s="559">
        <f t="shared" si="5"/>
        <v>135</v>
      </c>
      <c r="AA17" s="577">
        <f t="shared" si="6"/>
        <v>135</v>
      </c>
      <c r="AB17" s="577" t="str">
        <f t="shared" si="7"/>
        <v xml:space="preserve"> </v>
      </c>
      <c r="AC17" s="577" t="str">
        <f t="shared" si="8"/>
        <v xml:space="preserve"> </v>
      </c>
      <c r="AD17" s="562" t="str">
        <f t="shared" si="9"/>
        <v xml:space="preserve"> </v>
      </c>
    </row>
    <row r="18" spans="2:30" ht="15" thickBot="1" x14ac:dyDescent="0.25">
      <c r="B18" s="339" t="s">
        <v>308</v>
      </c>
      <c r="C18" s="338" t="s">
        <v>498</v>
      </c>
      <c r="D18" s="394" t="s">
        <v>286</v>
      </c>
      <c r="E18" s="35" t="s">
        <v>527</v>
      </c>
      <c r="F18" s="404">
        <f t="shared" si="0"/>
        <v>383</v>
      </c>
      <c r="G18" s="403">
        <v>383</v>
      </c>
      <c r="H18" s="403">
        <v>0</v>
      </c>
      <c r="I18" s="403">
        <v>0</v>
      </c>
      <c r="J18" s="403">
        <v>0</v>
      </c>
      <c r="K18" s="30">
        <f t="shared" si="1"/>
        <v>383</v>
      </c>
      <c r="L18" s="27">
        <v>383</v>
      </c>
      <c r="M18" s="27">
        <v>0</v>
      </c>
      <c r="N18" s="27">
        <v>0</v>
      </c>
      <c r="O18" s="27">
        <v>0</v>
      </c>
      <c r="P18" s="30">
        <f t="shared" si="2"/>
        <v>400</v>
      </c>
      <c r="Q18" s="27">
        <v>400</v>
      </c>
      <c r="R18" s="27">
        <v>0</v>
      </c>
      <c r="S18" s="27">
        <v>0</v>
      </c>
      <c r="T18" s="27">
        <v>0</v>
      </c>
      <c r="U18" s="30">
        <f t="shared" si="3"/>
        <v>17</v>
      </c>
      <c r="V18" s="27">
        <v>17</v>
      </c>
      <c r="W18" s="27">
        <v>0</v>
      </c>
      <c r="X18" s="27">
        <v>0</v>
      </c>
      <c r="Y18" s="31">
        <v>0</v>
      </c>
      <c r="Z18" s="559">
        <f t="shared" si="5"/>
        <v>104.43864229765015</v>
      </c>
      <c r="AA18" s="577">
        <f t="shared" si="6"/>
        <v>104.43864229765015</v>
      </c>
      <c r="AB18" s="577" t="str">
        <f t="shared" si="7"/>
        <v xml:space="preserve"> </v>
      </c>
      <c r="AC18" s="577" t="str">
        <f t="shared" si="8"/>
        <v xml:space="preserve"> </v>
      </c>
      <c r="AD18" s="562" t="str">
        <f t="shared" si="9"/>
        <v xml:space="preserve"> </v>
      </c>
    </row>
    <row r="19" spans="2:30" ht="15" thickBot="1" x14ac:dyDescent="0.25">
      <c r="B19" s="339" t="s">
        <v>308</v>
      </c>
      <c r="C19" s="338" t="s">
        <v>520</v>
      </c>
      <c r="D19" s="394" t="s">
        <v>286</v>
      </c>
      <c r="E19" s="35" t="s">
        <v>527</v>
      </c>
      <c r="F19" s="404">
        <f t="shared" si="0"/>
        <v>40</v>
      </c>
      <c r="G19" s="403">
        <v>40</v>
      </c>
      <c r="H19" s="403">
        <v>0</v>
      </c>
      <c r="I19" s="403">
        <v>0</v>
      </c>
      <c r="J19" s="403">
        <v>0</v>
      </c>
      <c r="K19" s="30">
        <f t="shared" si="1"/>
        <v>40</v>
      </c>
      <c r="L19" s="27">
        <v>40</v>
      </c>
      <c r="M19" s="27">
        <v>0</v>
      </c>
      <c r="N19" s="27">
        <v>0</v>
      </c>
      <c r="O19" s="27">
        <v>0</v>
      </c>
      <c r="P19" s="30">
        <f t="shared" si="2"/>
        <v>50</v>
      </c>
      <c r="Q19" s="27">
        <v>50</v>
      </c>
      <c r="R19" s="27">
        <v>0</v>
      </c>
      <c r="S19" s="27">
        <v>0</v>
      </c>
      <c r="T19" s="27">
        <v>0</v>
      </c>
      <c r="U19" s="30">
        <f t="shared" si="3"/>
        <v>10</v>
      </c>
      <c r="V19" s="27">
        <v>10</v>
      </c>
      <c r="W19" s="27">
        <v>0</v>
      </c>
      <c r="X19" s="27">
        <v>0</v>
      </c>
      <c r="Y19" s="31">
        <v>0</v>
      </c>
      <c r="Z19" s="559">
        <f t="shared" si="5"/>
        <v>125</v>
      </c>
      <c r="AA19" s="577">
        <f t="shared" si="6"/>
        <v>125</v>
      </c>
      <c r="AB19" s="577" t="str">
        <f t="shared" si="7"/>
        <v xml:space="preserve"> </v>
      </c>
      <c r="AC19" s="577" t="str">
        <f t="shared" si="8"/>
        <v xml:space="preserve"> </v>
      </c>
      <c r="AD19" s="562" t="str">
        <f t="shared" si="9"/>
        <v xml:space="preserve"> </v>
      </c>
    </row>
    <row r="20" spans="2:30" ht="15" thickBot="1" x14ac:dyDescent="0.25">
      <c r="B20" s="339" t="s">
        <v>308</v>
      </c>
      <c r="C20" s="338" t="s">
        <v>519</v>
      </c>
      <c r="D20" s="394" t="s">
        <v>286</v>
      </c>
      <c r="E20" s="35" t="s">
        <v>527</v>
      </c>
      <c r="F20" s="404">
        <f t="shared" si="0"/>
        <v>365</v>
      </c>
      <c r="G20" s="403">
        <v>365</v>
      </c>
      <c r="H20" s="403">
        <v>0</v>
      </c>
      <c r="I20" s="403">
        <v>0</v>
      </c>
      <c r="J20" s="403">
        <v>0</v>
      </c>
      <c r="K20" s="30">
        <f t="shared" si="1"/>
        <v>365</v>
      </c>
      <c r="L20" s="27">
        <v>365</v>
      </c>
      <c r="M20" s="27">
        <v>0</v>
      </c>
      <c r="N20" s="27">
        <v>0</v>
      </c>
      <c r="O20" s="27">
        <v>0</v>
      </c>
      <c r="P20" s="30">
        <f t="shared" si="2"/>
        <v>308</v>
      </c>
      <c r="Q20" s="27">
        <v>308</v>
      </c>
      <c r="R20" s="27">
        <v>0</v>
      </c>
      <c r="S20" s="27">
        <v>0</v>
      </c>
      <c r="T20" s="27">
        <v>0</v>
      </c>
      <c r="U20" s="30">
        <f t="shared" si="3"/>
        <v>-57</v>
      </c>
      <c r="V20" s="27">
        <v>-57</v>
      </c>
      <c r="W20" s="27">
        <v>0</v>
      </c>
      <c r="X20" s="27">
        <v>0</v>
      </c>
      <c r="Y20" s="31">
        <v>0</v>
      </c>
      <c r="Z20" s="559">
        <f t="shared" si="5"/>
        <v>84.38356164383562</v>
      </c>
      <c r="AA20" s="577">
        <f t="shared" si="6"/>
        <v>84.38356164383562</v>
      </c>
      <c r="AB20" s="577" t="str">
        <f t="shared" si="7"/>
        <v xml:space="preserve"> </v>
      </c>
      <c r="AC20" s="577" t="str">
        <f t="shared" si="8"/>
        <v xml:space="preserve"> </v>
      </c>
      <c r="AD20" s="562" t="str">
        <f t="shared" si="9"/>
        <v xml:space="preserve"> </v>
      </c>
    </row>
    <row r="21" spans="2:30" ht="15.75" thickBot="1" x14ac:dyDescent="0.25">
      <c r="B21" s="336" t="s">
        <v>308</v>
      </c>
      <c r="C21" s="335"/>
      <c r="D21" s="393" t="s">
        <v>286</v>
      </c>
      <c r="E21" s="333" t="s">
        <v>527</v>
      </c>
      <c r="F21" s="400">
        <f t="shared" si="0"/>
        <v>3622</v>
      </c>
      <c r="G21" s="402">
        <f>SUM(G15:G20)</f>
        <v>2898</v>
      </c>
      <c r="H21" s="402">
        <f>SUM(H15:H20)</f>
        <v>0</v>
      </c>
      <c r="I21" s="402">
        <f>SUM(I15:I20)</f>
        <v>0</v>
      </c>
      <c r="J21" s="402">
        <f>SUM(J15:J20)</f>
        <v>724</v>
      </c>
      <c r="K21" s="400">
        <f t="shared" si="1"/>
        <v>3622</v>
      </c>
      <c r="L21" s="402">
        <f>SUM(L15:L20)</f>
        <v>2898</v>
      </c>
      <c r="M21" s="402">
        <f>SUM(M15:M20)</f>
        <v>0</v>
      </c>
      <c r="N21" s="402">
        <f>SUM(N15:N20)</f>
        <v>0</v>
      </c>
      <c r="O21" s="402">
        <f>SUM(O15:O20)</f>
        <v>724</v>
      </c>
      <c r="P21" s="400">
        <f t="shared" si="2"/>
        <v>3444</v>
      </c>
      <c r="Q21" s="402">
        <f>SUM(Q15:Q20)</f>
        <v>2753</v>
      </c>
      <c r="R21" s="402">
        <f>SUM(R15:R20)</f>
        <v>0</v>
      </c>
      <c r="S21" s="402">
        <f>SUM(S15:S20)</f>
        <v>0</v>
      </c>
      <c r="T21" s="402">
        <f>SUM(T15:T20)</f>
        <v>691</v>
      </c>
      <c r="U21" s="400">
        <f t="shared" si="3"/>
        <v>-178</v>
      </c>
      <c r="V21" s="402">
        <f>SUM(V15:V20)</f>
        <v>-145</v>
      </c>
      <c r="W21" s="402">
        <f>SUM(W15:W20)</f>
        <v>0</v>
      </c>
      <c r="X21" s="402">
        <f>SUM(X15:X20)</f>
        <v>0</v>
      </c>
      <c r="Y21" s="330">
        <v>-33</v>
      </c>
      <c r="Z21" s="581">
        <f t="shared" si="5"/>
        <v>95.085588072887901</v>
      </c>
      <c r="AA21" s="582">
        <f t="shared" si="6"/>
        <v>94.996549344375438</v>
      </c>
      <c r="AB21" s="582" t="str">
        <f t="shared" si="7"/>
        <v xml:space="preserve"> </v>
      </c>
      <c r="AC21" s="582" t="str">
        <f t="shared" si="8"/>
        <v xml:space="preserve"> </v>
      </c>
      <c r="AD21" s="583">
        <f t="shared" si="9"/>
        <v>95.44198895027624</v>
      </c>
    </row>
    <row r="22" spans="2:30" ht="15" thickBot="1" x14ac:dyDescent="0.25">
      <c r="B22" s="339" t="s">
        <v>307</v>
      </c>
      <c r="C22" s="338" t="s">
        <v>516</v>
      </c>
      <c r="D22" s="394" t="s">
        <v>286</v>
      </c>
      <c r="E22" s="35" t="s">
        <v>306</v>
      </c>
      <c r="F22" s="404">
        <f t="shared" si="0"/>
        <v>949</v>
      </c>
      <c r="G22" s="403">
        <v>949</v>
      </c>
      <c r="H22" s="403">
        <v>0</v>
      </c>
      <c r="I22" s="403">
        <v>0</v>
      </c>
      <c r="J22" s="403">
        <v>0</v>
      </c>
      <c r="K22" s="30">
        <f t="shared" si="1"/>
        <v>949</v>
      </c>
      <c r="L22" s="27">
        <v>949</v>
      </c>
      <c r="M22" s="27">
        <v>0</v>
      </c>
      <c r="N22" s="27">
        <v>0</v>
      </c>
      <c r="O22" s="27">
        <v>0</v>
      </c>
      <c r="P22" s="30">
        <f t="shared" si="2"/>
        <v>950</v>
      </c>
      <c r="Q22" s="27">
        <v>950</v>
      </c>
      <c r="R22" s="27">
        <v>0</v>
      </c>
      <c r="S22" s="27">
        <v>0</v>
      </c>
      <c r="T22" s="27">
        <v>0</v>
      </c>
      <c r="U22" s="30">
        <f t="shared" si="3"/>
        <v>1</v>
      </c>
      <c r="V22" s="27">
        <v>1</v>
      </c>
      <c r="W22" s="27">
        <v>0</v>
      </c>
      <c r="X22" s="27">
        <v>0</v>
      </c>
      <c r="Y22" s="31">
        <v>0</v>
      </c>
      <c r="Z22" s="559">
        <f t="shared" si="5"/>
        <v>100.10537407797682</v>
      </c>
      <c r="AA22" s="577">
        <f t="shared" si="6"/>
        <v>100.10537407797682</v>
      </c>
      <c r="AB22" s="577" t="str">
        <f t="shared" si="7"/>
        <v xml:space="preserve"> </v>
      </c>
      <c r="AC22" s="577" t="str">
        <f t="shared" si="8"/>
        <v xml:space="preserve"> </v>
      </c>
      <c r="AD22" s="562" t="str">
        <f t="shared" si="9"/>
        <v xml:space="preserve"> </v>
      </c>
    </row>
    <row r="23" spans="2:30" ht="15" thickBot="1" x14ac:dyDescent="0.25">
      <c r="B23" s="339" t="s">
        <v>307</v>
      </c>
      <c r="C23" s="338" t="s">
        <v>517</v>
      </c>
      <c r="D23" s="394" t="s">
        <v>286</v>
      </c>
      <c r="E23" s="35" t="s">
        <v>306</v>
      </c>
      <c r="F23" s="404">
        <f t="shared" si="0"/>
        <v>60</v>
      </c>
      <c r="G23" s="403">
        <v>60</v>
      </c>
      <c r="H23" s="403">
        <v>0</v>
      </c>
      <c r="I23" s="403">
        <v>0</v>
      </c>
      <c r="J23" s="403">
        <v>0</v>
      </c>
      <c r="K23" s="30">
        <f t="shared" si="1"/>
        <v>60</v>
      </c>
      <c r="L23" s="27">
        <v>60</v>
      </c>
      <c r="M23" s="27">
        <v>0</v>
      </c>
      <c r="N23" s="27">
        <v>0</v>
      </c>
      <c r="O23" s="27">
        <v>0</v>
      </c>
      <c r="P23" s="30">
        <f t="shared" si="2"/>
        <v>40</v>
      </c>
      <c r="Q23" s="27">
        <v>40</v>
      </c>
      <c r="R23" s="27">
        <v>0</v>
      </c>
      <c r="S23" s="27">
        <v>0</v>
      </c>
      <c r="T23" s="27">
        <v>0</v>
      </c>
      <c r="U23" s="30">
        <f t="shared" si="3"/>
        <v>-20</v>
      </c>
      <c r="V23" s="27">
        <v>-20</v>
      </c>
      <c r="W23" s="27">
        <v>0</v>
      </c>
      <c r="X23" s="27">
        <v>0</v>
      </c>
      <c r="Y23" s="31">
        <v>0</v>
      </c>
      <c r="Z23" s="559">
        <f t="shared" si="5"/>
        <v>66.666666666666657</v>
      </c>
      <c r="AA23" s="577">
        <f t="shared" si="6"/>
        <v>66.666666666666657</v>
      </c>
      <c r="AB23" s="577" t="str">
        <f t="shared" si="7"/>
        <v xml:space="preserve"> </v>
      </c>
      <c r="AC23" s="577" t="str">
        <f t="shared" si="8"/>
        <v xml:space="preserve"> </v>
      </c>
      <c r="AD23" s="562" t="str">
        <f t="shared" si="9"/>
        <v xml:space="preserve"> </v>
      </c>
    </row>
    <row r="24" spans="2:30" ht="15" thickBot="1" x14ac:dyDescent="0.25">
      <c r="B24" s="339" t="s">
        <v>307</v>
      </c>
      <c r="C24" s="338" t="s">
        <v>520</v>
      </c>
      <c r="D24" s="394" t="s">
        <v>286</v>
      </c>
      <c r="E24" s="35" t="s">
        <v>306</v>
      </c>
      <c r="F24" s="404">
        <f t="shared" si="0"/>
        <v>50</v>
      </c>
      <c r="G24" s="403">
        <v>50</v>
      </c>
      <c r="H24" s="403">
        <v>0</v>
      </c>
      <c r="I24" s="403">
        <v>0</v>
      </c>
      <c r="J24" s="403">
        <v>0</v>
      </c>
      <c r="K24" s="30">
        <f t="shared" si="1"/>
        <v>50</v>
      </c>
      <c r="L24" s="27">
        <v>50</v>
      </c>
      <c r="M24" s="27">
        <v>0</v>
      </c>
      <c r="N24" s="27">
        <v>0</v>
      </c>
      <c r="O24" s="27">
        <v>0</v>
      </c>
      <c r="P24" s="30">
        <f t="shared" si="2"/>
        <v>40</v>
      </c>
      <c r="Q24" s="27">
        <v>40</v>
      </c>
      <c r="R24" s="27">
        <v>0</v>
      </c>
      <c r="S24" s="27">
        <v>0</v>
      </c>
      <c r="T24" s="27">
        <v>0</v>
      </c>
      <c r="U24" s="30">
        <f t="shared" si="3"/>
        <v>-10</v>
      </c>
      <c r="V24" s="27">
        <v>-10</v>
      </c>
      <c r="W24" s="27">
        <v>0</v>
      </c>
      <c r="X24" s="27">
        <v>0</v>
      </c>
      <c r="Y24" s="31">
        <v>0</v>
      </c>
      <c r="Z24" s="559">
        <f t="shared" si="5"/>
        <v>80</v>
      </c>
      <c r="AA24" s="577">
        <f t="shared" si="6"/>
        <v>80</v>
      </c>
      <c r="AB24" s="577" t="str">
        <f t="shared" si="7"/>
        <v xml:space="preserve"> </v>
      </c>
      <c r="AC24" s="577" t="str">
        <f t="shared" si="8"/>
        <v xml:space="preserve"> </v>
      </c>
      <c r="AD24" s="562" t="str">
        <f t="shared" si="9"/>
        <v xml:space="preserve"> </v>
      </c>
    </row>
    <row r="25" spans="2:30" ht="15" thickBot="1" x14ac:dyDescent="0.25">
      <c r="B25" s="339" t="s">
        <v>307</v>
      </c>
      <c r="C25" s="338" t="s">
        <v>496</v>
      </c>
      <c r="D25" s="394" t="s">
        <v>286</v>
      </c>
      <c r="E25" s="35" t="s">
        <v>306</v>
      </c>
      <c r="F25" s="404">
        <f t="shared" si="0"/>
        <v>410</v>
      </c>
      <c r="G25" s="403">
        <v>410</v>
      </c>
      <c r="H25" s="403">
        <v>0</v>
      </c>
      <c r="I25" s="403">
        <v>0</v>
      </c>
      <c r="J25" s="403">
        <v>0</v>
      </c>
      <c r="K25" s="30">
        <f t="shared" si="1"/>
        <v>410</v>
      </c>
      <c r="L25" s="27">
        <v>410</v>
      </c>
      <c r="M25" s="27">
        <v>0</v>
      </c>
      <c r="N25" s="27">
        <v>0</v>
      </c>
      <c r="O25" s="27">
        <v>0</v>
      </c>
      <c r="P25" s="30">
        <f t="shared" si="2"/>
        <v>370</v>
      </c>
      <c r="Q25" s="27">
        <v>370</v>
      </c>
      <c r="R25" s="27">
        <v>0</v>
      </c>
      <c r="S25" s="27">
        <v>0</v>
      </c>
      <c r="T25" s="27">
        <v>0</v>
      </c>
      <c r="U25" s="30">
        <f t="shared" si="3"/>
        <v>-40</v>
      </c>
      <c r="V25" s="27">
        <v>-40</v>
      </c>
      <c r="W25" s="27">
        <v>0</v>
      </c>
      <c r="X25" s="27">
        <v>0</v>
      </c>
      <c r="Y25" s="31">
        <v>0</v>
      </c>
      <c r="Z25" s="559">
        <f t="shared" si="5"/>
        <v>90.243902439024396</v>
      </c>
      <c r="AA25" s="577">
        <f t="shared" si="6"/>
        <v>90.243902439024396</v>
      </c>
      <c r="AB25" s="577" t="str">
        <f t="shared" si="7"/>
        <v xml:space="preserve"> </v>
      </c>
      <c r="AC25" s="577" t="str">
        <f t="shared" si="8"/>
        <v xml:space="preserve"> </v>
      </c>
      <c r="AD25" s="562" t="str">
        <f t="shared" si="9"/>
        <v xml:space="preserve"> </v>
      </c>
    </row>
    <row r="26" spans="2:30" ht="15" thickBot="1" x14ac:dyDescent="0.25">
      <c r="B26" s="339" t="s">
        <v>307</v>
      </c>
      <c r="C26" s="338" t="s">
        <v>500</v>
      </c>
      <c r="D26" s="394" t="s">
        <v>286</v>
      </c>
      <c r="E26" s="35" t="s">
        <v>306</v>
      </c>
      <c r="F26" s="404">
        <f t="shared" si="0"/>
        <v>3918</v>
      </c>
      <c r="G26" s="403">
        <v>2868</v>
      </c>
      <c r="H26" s="403">
        <v>0</v>
      </c>
      <c r="I26" s="403">
        <v>0</v>
      </c>
      <c r="J26" s="403">
        <v>1050</v>
      </c>
      <c r="K26" s="30">
        <f t="shared" si="1"/>
        <v>3918</v>
      </c>
      <c r="L26" s="27">
        <v>2868</v>
      </c>
      <c r="M26" s="27">
        <v>0</v>
      </c>
      <c r="N26" s="27">
        <v>0</v>
      </c>
      <c r="O26" s="27">
        <v>1050</v>
      </c>
      <c r="P26" s="30">
        <f t="shared" si="2"/>
        <v>3714</v>
      </c>
      <c r="Q26" s="27">
        <v>2720</v>
      </c>
      <c r="R26" s="27">
        <v>0</v>
      </c>
      <c r="S26" s="27">
        <v>0</v>
      </c>
      <c r="T26" s="27">
        <v>994</v>
      </c>
      <c r="U26" s="30">
        <f t="shared" si="3"/>
        <v>-204</v>
      </c>
      <c r="V26" s="27">
        <v>-148</v>
      </c>
      <c r="W26" s="27">
        <v>0</v>
      </c>
      <c r="X26" s="27">
        <v>0</v>
      </c>
      <c r="Y26" s="31">
        <v>-56</v>
      </c>
      <c r="Z26" s="559">
        <f t="shared" si="5"/>
        <v>94.793261868300149</v>
      </c>
      <c r="AA26" s="577">
        <f t="shared" si="6"/>
        <v>94.839609483960956</v>
      </c>
      <c r="AB26" s="577" t="str">
        <f t="shared" si="7"/>
        <v xml:space="preserve"> </v>
      </c>
      <c r="AC26" s="577" t="str">
        <f t="shared" si="8"/>
        <v xml:space="preserve"> </v>
      </c>
      <c r="AD26" s="562">
        <f t="shared" si="9"/>
        <v>94.666666666666671</v>
      </c>
    </row>
    <row r="27" spans="2:30" ht="15.75" thickBot="1" x14ac:dyDescent="0.25">
      <c r="B27" s="336" t="s">
        <v>307</v>
      </c>
      <c r="C27" s="335"/>
      <c r="D27" s="393" t="s">
        <v>286</v>
      </c>
      <c r="E27" s="333" t="s">
        <v>306</v>
      </c>
      <c r="F27" s="400">
        <f t="shared" si="0"/>
        <v>5387</v>
      </c>
      <c r="G27" s="402">
        <f>SUM(G22:G26)</f>
        <v>4337</v>
      </c>
      <c r="H27" s="402">
        <f>SUM(H22:H26)</f>
        <v>0</v>
      </c>
      <c r="I27" s="402">
        <f>SUM(I22:I26)</f>
        <v>0</v>
      </c>
      <c r="J27" s="402">
        <f>SUM(J22:J26)</f>
        <v>1050</v>
      </c>
      <c r="K27" s="400">
        <f t="shared" si="1"/>
        <v>5387</v>
      </c>
      <c r="L27" s="402">
        <f>SUM(L22:L26)</f>
        <v>4337</v>
      </c>
      <c r="M27" s="402">
        <f>SUM(M22:M26)</f>
        <v>0</v>
      </c>
      <c r="N27" s="402">
        <f>SUM(N22:N26)</f>
        <v>0</v>
      </c>
      <c r="O27" s="402">
        <f>SUM(O22:O26)</f>
        <v>1050</v>
      </c>
      <c r="P27" s="400">
        <f t="shared" si="2"/>
        <v>5114</v>
      </c>
      <c r="Q27" s="402">
        <f>SUM(Q22:Q26)</f>
        <v>4120</v>
      </c>
      <c r="R27" s="402">
        <f>SUM(R22:R26)</f>
        <v>0</v>
      </c>
      <c r="S27" s="402">
        <f>SUM(S22:S26)</f>
        <v>0</v>
      </c>
      <c r="T27" s="402">
        <f>SUM(T22:T26)</f>
        <v>994</v>
      </c>
      <c r="U27" s="400">
        <f t="shared" si="3"/>
        <v>-273</v>
      </c>
      <c r="V27" s="402">
        <f>SUM(V22:V26)</f>
        <v>-217</v>
      </c>
      <c r="W27" s="402">
        <f>SUM(W22:W26)</f>
        <v>0</v>
      </c>
      <c r="X27" s="402">
        <f>SUM(X22:X26)</f>
        <v>0</v>
      </c>
      <c r="Y27" s="401">
        <f>SUM(Y22:Y26)</f>
        <v>-56</v>
      </c>
      <c r="Z27" s="581">
        <f t="shared" si="5"/>
        <v>94.932244291813632</v>
      </c>
      <c r="AA27" s="582">
        <f t="shared" si="6"/>
        <v>94.996541388056258</v>
      </c>
      <c r="AB27" s="582" t="str">
        <f t="shared" si="7"/>
        <v xml:space="preserve"> </v>
      </c>
      <c r="AC27" s="582" t="str">
        <f t="shared" si="8"/>
        <v xml:space="preserve"> </v>
      </c>
      <c r="AD27" s="583">
        <f t="shared" si="9"/>
        <v>94.666666666666671</v>
      </c>
    </row>
    <row r="28" spans="2:30" ht="15" thickBot="1" x14ac:dyDescent="0.25">
      <c r="B28" s="339" t="s">
        <v>305</v>
      </c>
      <c r="C28" s="338" t="s">
        <v>515</v>
      </c>
      <c r="D28" s="394" t="s">
        <v>286</v>
      </c>
      <c r="E28" s="35" t="s">
        <v>304</v>
      </c>
      <c r="F28" s="404">
        <f t="shared" si="0"/>
        <v>4282</v>
      </c>
      <c r="G28" s="403">
        <v>3380</v>
      </c>
      <c r="H28" s="403">
        <v>0</v>
      </c>
      <c r="I28" s="403">
        <v>0</v>
      </c>
      <c r="J28" s="403">
        <v>902</v>
      </c>
      <c r="K28" s="30">
        <f t="shared" si="1"/>
        <v>4282</v>
      </c>
      <c r="L28" s="27">
        <v>3380</v>
      </c>
      <c r="M28" s="27">
        <v>0</v>
      </c>
      <c r="N28" s="27">
        <v>0</v>
      </c>
      <c r="O28" s="27">
        <v>902</v>
      </c>
      <c r="P28" s="30">
        <f t="shared" si="2"/>
        <v>4175</v>
      </c>
      <c r="Q28" s="27">
        <v>3211</v>
      </c>
      <c r="R28" s="27">
        <v>0</v>
      </c>
      <c r="S28" s="27">
        <v>0</v>
      </c>
      <c r="T28" s="27">
        <v>964</v>
      </c>
      <c r="U28" s="30">
        <f t="shared" si="3"/>
        <v>-107</v>
      </c>
      <c r="V28" s="27">
        <v>-169</v>
      </c>
      <c r="W28" s="27">
        <v>0</v>
      </c>
      <c r="X28" s="27">
        <v>0</v>
      </c>
      <c r="Y28" s="31">
        <v>62</v>
      </c>
      <c r="Z28" s="559">
        <f t="shared" si="5"/>
        <v>97.501167678654838</v>
      </c>
      <c r="AA28" s="577">
        <f t="shared" si="6"/>
        <v>95</v>
      </c>
      <c r="AB28" s="577" t="str">
        <f t="shared" si="7"/>
        <v xml:space="preserve"> </v>
      </c>
      <c r="AC28" s="577" t="str">
        <f t="shared" si="8"/>
        <v xml:space="preserve"> </v>
      </c>
      <c r="AD28" s="562">
        <f t="shared" si="9"/>
        <v>106.87361419068738</v>
      </c>
    </row>
    <row r="29" spans="2:30" ht="26.25" thickBot="1" x14ac:dyDescent="0.25">
      <c r="B29" s="336" t="s">
        <v>305</v>
      </c>
      <c r="C29" s="335"/>
      <c r="D29" s="393" t="s">
        <v>286</v>
      </c>
      <c r="E29" s="333" t="s">
        <v>304</v>
      </c>
      <c r="F29" s="400">
        <f t="shared" si="0"/>
        <v>4282</v>
      </c>
      <c r="G29" s="402">
        <f>SUM(G28)</f>
        <v>3380</v>
      </c>
      <c r="H29" s="402">
        <f>SUM(H28)</f>
        <v>0</v>
      </c>
      <c r="I29" s="402">
        <f>SUM(I28)</f>
        <v>0</v>
      </c>
      <c r="J29" s="402">
        <f>SUM(J28)</f>
        <v>902</v>
      </c>
      <c r="K29" s="400">
        <f t="shared" si="1"/>
        <v>4282</v>
      </c>
      <c r="L29" s="402">
        <f>SUM(L28)</f>
        <v>3380</v>
      </c>
      <c r="M29" s="402">
        <f>SUM(M28)</f>
        <v>0</v>
      </c>
      <c r="N29" s="402">
        <f>SUM(N28)</f>
        <v>0</v>
      </c>
      <c r="O29" s="402">
        <f>SUM(O28)</f>
        <v>902</v>
      </c>
      <c r="P29" s="400">
        <f t="shared" si="2"/>
        <v>4175</v>
      </c>
      <c r="Q29" s="402">
        <f>SUM(Q28)</f>
        <v>3211</v>
      </c>
      <c r="R29" s="402">
        <f>SUM(R28)</f>
        <v>0</v>
      </c>
      <c r="S29" s="402">
        <f>SUM(S28)</f>
        <v>0</v>
      </c>
      <c r="T29" s="402">
        <f>SUM(T28)</f>
        <v>964</v>
      </c>
      <c r="U29" s="400">
        <f t="shared" si="3"/>
        <v>-107</v>
      </c>
      <c r="V29" s="402">
        <f>SUM(V28)</f>
        <v>-169</v>
      </c>
      <c r="W29" s="402">
        <f>SUM(W28)</f>
        <v>0</v>
      </c>
      <c r="X29" s="402">
        <f>SUM(X28)</f>
        <v>0</v>
      </c>
      <c r="Y29" s="401">
        <f>SUM(Y28)</f>
        <v>62</v>
      </c>
      <c r="Z29" s="581">
        <f t="shared" si="5"/>
        <v>97.501167678654838</v>
      </c>
      <c r="AA29" s="582">
        <f t="shared" si="6"/>
        <v>95</v>
      </c>
      <c r="AB29" s="582" t="str">
        <f t="shared" si="7"/>
        <v xml:space="preserve"> </v>
      </c>
      <c r="AC29" s="582" t="str">
        <f t="shared" si="8"/>
        <v xml:space="preserve"> </v>
      </c>
      <c r="AD29" s="583">
        <f t="shared" si="9"/>
        <v>106.87361419068738</v>
      </c>
    </row>
    <row r="30" spans="2:30" ht="15" thickBot="1" x14ac:dyDescent="0.25">
      <c r="B30" s="339" t="s">
        <v>303</v>
      </c>
      <c r="C30" s="338" t="s">
        <v>511</v>
      </c>
      <c r="D30" s="394" t="s">
        <v>286</v>
      </c>
      <c r="E30" s="35" t="s">
        <v>302</v>
      </c>
      <c r="F30" s="404">
        <f t="shared" si="0"/>
        <v>2345</v>
      </c>
      <c r="G30" s="403">
        <v>1990</v>
      </c>
      <c r="H30" s="403">
        <v>0</v>
      </c>
      <c r="I30" s="403">
        <v>0</v>
      </c>
      <c r="J30" s="403">
        <v>355</v>
      </c>
      <c r="K30" s="30">
        <f t="shared" si="1"/>
        <v>2345</v>
      </c>
      <c r="L30" s="27">
        <v>1990</v>
      </c>
      <c r="M30" s="27">
        <v>0</v>
      </c>
      <c r="N30" s="27">
        <v>0</v>
      </c>
      <c r="O30" s="27">
        <v>355</v>
      </c>
      <c r="P30" s="30">
        <f t="shared" si="2"/>
        <v>2198</v>
      </c>
      <c r="Q30" s="27">
        <v>1890</v>
      </c>
      <c r="R30" s="27">
        <v>0</v>
      </c>
      <c r="S30" s="27">
        <v>0</v>
      </c>
      <c r="T30" s="27">
        <v>308</v>
      </c>
      <c r="U30" s="30">
        <f t="shared" si="3"/>
        <v>-147</v>
      </c>
      <c r="V30" s="27">
        <v>-100</v>
      </c>
      <c r="W30" s="27">
        <v>0</v>
      </c>
      <c r="X30" s="27">
        <v>0</v>
      </c>
      <c r="Y30" s="31">
        <v>-47</v>
      </c>
      <c r="Z30" s="559">
        <f t="shared" si="5"/>
        <v>93.731343283582092</v>
      </c>
      <c r="AA30" s="577">
        <f t="shared" si="6"/>
        <v>94.9748743718593</v>
      </c>
      <c r="AB30" s="577" t="str">
        <f t="shared" si="7"/>
        <v xml:space="preserve"> </v>
      </c>
      <c r="AC30" s="577" t="str">
        <f t="shared" si="8"/>
        <v xml:space="preserve"> </v>
      </c>
      <c r="AD30" s="562">
        <f t="shared" si="9"/>
        <v>86.760563380281681</v>
      </c>
    </row>
    <row r="31" spans="2:30" ht="15" thickBot="1" x14ac:dyDescent="0.25">
      <c r="B31" s="339" t="s">
        <v>303</v>
      </c>
      <c r="C31" s="338" t="s">
        <v>505</v>
      </c>
      <c r="D31" s="394" t="s">
        <v>286</v>
      </c>
      <c r="E31" s="35" t="s">
        <v>302</v>
      </c>
      <c r="F31" s="404">
        <f t="shared" si="0"/>
        <v>1799</v>
      </c>
      <c r="G31" s="403">
        <v>1419</v>
      </c>
      <c r="H31" s="403">
        <v>0</v>
      </c>
      <c r="I31" s="403">
        <v>0</v>
      </c>
      <c r="J31" s="403">
        <v>380</v>
      </c>
      <c r="K31" s="30">
        <f t="shared" si="1"/>
        <v>1799</v>
      </c>
      <c r="L31" s="27">
        <v>1419</v>
      </c>
      <c r="M31" s="27">
        <v>0</v>
      </c>
      <c r="N31" s="27">
        <v>0</v>
      </c>
      <c r="O31" s="27">
        <v>380</v>
      </c>
      <c r="P31" s="30">
        <f t="shared" si="2"/>
        <v>1795</v>
      </c>
      <c r="Q31" s="27">
        <v>1348</v>
      </c>
      <c r="R31" s="27">
        <v>0</v>
      </c>
      <c r="S31" s="27">
        <v>0</v>
      </c>
      <c r="T31" s="27">
        <v>447</v>
      </c>
      <c r="U31" s="30">
        <f t="shared" si="3"/>
        <v>-4</v>
      </c>
      <c r="V31" s="27">
        <v>-71</v>
      </c>
      <c r="W31" s="27">
        <v>0</v>
      </c>
      <c r="X31" s="27">
        <v>0</v>
      </c>
      <c r="Y31" s="31">
        <v>67</v>
      </c>
      <c r="Z31" s="559">
        <f t="shared" si="5"/>
        <v>99.777654252362424</v>
      </c>
      <c r="AA31" s="577">
        <f t="shared" si="6"/>
        <v>94.996476391825226</v>
      </c>
      <c r="AB31" s="577" t="str">
        <f t="shared" si="7"/>
        <v xml:space="preserve"> </v>
      </c>
      <c r="AC31" s="577" t="str">
        <f t="shared" si="8"/>
        <v xml:space="preserve"> </v>
      </c>
      <c r="AD31" s="562">
        <f t="shared" si="9"/>
        <v>117.63157894736842</v>
      </c>
    </row>
    <row r="32" spans="2:30" ht="15.75" thickBot="1" x14ac:dyDescent="0.25">
      <c r="B32" s="336" t="s">
        <v>303</v>
      </c>
      <c r="C32" s="335"/>
      <c r="D32" s="393" t="s">
        <v>286</v>
      </c>
      <c r="E32" s="333" t="s">
        <v>302</v>
      </c>
      <c r="F32" s="400">
        <f t="shared" si="0"/>
        <v>4144</v>
      </c>
      <c r="G32" s="402">
        <f>SUM(G30:G31)</f>
        <v>3409</v>
      </c>
      <c r="H32" s="402">
        <f>SUM(H30:H31)</f>
        <v>0</v>
      </c>
      <c r="I32" s="402">
        <f>SUM(I30:I31)</f>
        <v>0</v>
      </c>
      <c r="J32" s="402">
        <f>SUM(J30:J31)</f>
        <v>735</v>
      </c>
      <c r="K32" s="400">
        <f t="shared" si="1"/>
        <v>4144</v>
      </c>
      <c r="L32" s="402">
        <f>SUM(L30:L31)</f>
        <v>3409</v>
      </c>
      <c r="M32" s="402">
        <f>SUM(M30:M31)</f>
        <v>0</v>
      </c>
      <c r="N32" s="402">
        <f>SUM(N30:N31)</f>
        <v>0</v>
      </c>
      <c r="O32" s="402">
        <f>SUM(O30:O31)</f>
        <v>735</v>
      </c>
      <c r="P32" s="400">
        <f t="shared" si="2"/>
        <v>3993</v>
      </c>
      <c r="Q32" s="402">
        <f>SUM(Q30:Q31)</f>
        <v>3238</v>
      </c>
      <c r="R32" s="402">
        <f>SUM(R30:R31)</f>
        <v>0</v>
      </c>
      <c r="S32" s="402">
        <f>SUM(S30:S31)</f>
        <v>0</v>
      </c>
      <c r="T32" s="402">
        <f>SUM(T30:T31)</f>
        <v>755</v>
      </c>
      <c r="U32" s="400">
        <f t="shared" si="3"/>
        <v>-151</v>
      </c>
      <c r="V32" s="402">
        <f>SUM(V30:V31)</f>
        <v>-171</v>
      </c>
      <c r="W32" s="402">
        <f>SUM(W30:W31)</f>
        <v>0</v>
      </c>
      <c r="X32" s="402">
        <f>SUM(X30:X31)</f>
        <v>0</v>
      </c>
      <c r="Y32" s="401">
        <f>SUM(Y30:Y31)</f>
        <v>20</v>
      </c>
      <c r="Z32" s="581">
        <f t="shared" si="5"/>
        <v>96.35617760617761</v>
      </c>
      <c r="AA32" s="582">
        <f t="shared" si="6"/>
        <v>94.983866236432974</v>
      </c>
      <c r="AB32" s="582" t="str">
        <f t="shared" si="7"/>
        <v xml:space="preserve"> </v>
      </c>
      <c r="AC32" s="582" t="str">
        <f t="shared" si="8"/>
        <v xml:space="preserve"> </v>
      </c>
      <c r="AD32" s="583">
        <f t="shared" si="9"/>
        <v>102.72108843537416</v>
      </c>
    </row>
    <row r="33" spans="2:30" ht="15" thickBot="1" x14ac:dyDescent="0.25">
      <c r="B33" s="339" t="s">
        <v>301</v>
      </c>
      <c r="C33" s="338" t="s">
        <v>511</v>
      </c>
      <c r="D33" s="394" t="s">
        <v>286</v>
      </c>
      <c r="E33" s="35" t="s">
        <v>526</v>
      </c>
      <c r="F33" s="404">
        <f t="shared" si="0"/>
        <v>2837</v>
      </c>
      <c r="G33" s="403">
        <v>2766</v>
      </c>
      <c r="H33" s="403">
        <v>0</v>
      </c>
      <c r="I33" s="403">
        <v>0</v>
      </c>
      <c r="J33" s="403">
        <v>71</v>
      </c>
      <c r="K33" s="30">
        <f t="shared" si="1"/>
        <v>2837</v>
      </c>
      <c r="L33" s="27">
        <v>2766</v>
      </c>
      <c r="M33" s="27">
        <v>0</v>
      </c>
      <c r="N33" s="27">
        <v>0</v>
      </c>
      <c r="O33" s="27">
        <v>71</v>
      </c>
      <c r="P33" s="30">
        <f t="shared" si="2"/>
        <v>2812</v>
      </c>
      <c r="Q33" s="27">
        <v>2764</v>
      </c>
      <c r="R33" s="27">
        <v>0</v>
      </c>
      <c r="S33" s="27">
        <v>0</v>
      </c>
      <c r="T33" s="27">
        <v>48</v>
      </c>
      <c r="U33" s="30">
        <f t="shared" si="3"/>
        <v>-25</v>
      </c>
      <c r="V33" s="27">
        <v>-2</v>
      </c>
      <c r="W33" s="27">
        <v>0</v>
      </c>
      <c r="X33" s="27">
        <v>0</v>
      </c>
      <c r="Y33" s="31">
        <v>-23</v>
      </c>
      <c r="Z33" s="559">
        <f t="shared" si="5"/>
        <v>99.118787451533308</v>
      </c>
      <c r="AA33" s="577">
        <f t="shared" si="6"/>
        <v>99.927693420101221</v>
      </c>
      <c r="AB33" s="577" t="str">
        <f t="shared" si="7"/>
        <v xml:space="preserve"> </v>
      </c>
      <c r="AC33" s="577" t="str">
        <f t="shared" si="8"/>
        <v xml:space="preserve"> </v>
      </c>
      <c r="AD33" s="562">
        <f t="shared" si="9"/>
        <v>67.605633802816897</v>
      </c>
    </row>
    <row r="34" spans="2:30" ht="15" thickBot="1" x14ac:dyDescent="0.25">
      <c r="B34" s="339" t="s">
        <v>301</v>
      </c>
      <c r="C34" s="338" t="s">
        <v>506</v>
      </c>
      <c r="D34" s="394" t="s">
        <v>286</v>
      </c>
      <c r="E34" s="35" t="s">
        <v>526</v>
      </c>
      <c r="F34" s="404">
        <f t="shared" si="0"/>
        <v>2141</v>
      </c>
      <c r="G34" s="403">
        <v>2045</v>
      </c>
      <c r="H34" s="403">
        <v>0</v>
      </c>
      <c r="I34" s="403">
        <v>0</v>
      </c>
      <c r="J34" s="403">
        <v>96</v>
      </c>
      <c r="K34" s="30">
        <f t="shared" si="1"/>
        <v>2141</v>
      </c>
      <c r="L34" s="27">
        <v>2045</v>
      </c>
      <c r="M34" s="27">
        <v>0</v>
      </c>
      <c r="N34" s="27">
        <v>0</v>
      </c>
      <c r="O34" s="27">
        <v>96</v>
      </c>
      <c r="P34" s="30">
        <f t="shared" si="2"/>
        <v>1770</v>
      </c>
      <c r="Q34" s="27">
        <v>1696</v>
      </c>
      <c r="R34" s="27">
        <v>0</v>
      </c>
      <c r="S34" s="27">
        <v>0</v>
      </c>
      <c r="T34" s="27">
        <v>74</v>
      </c>
      <c r="U34" s="30">
        <f t="shared" si="3"/>
        <v>-371</v>
      </c>
      <c r="V34" s="27">
        <v>-349</v>
      </c>
      <c r="W34" s="27">
        <v>0</v>
      </c>
      <c r="X34" s="27">
        <v>0</v>
      </c>
      <c r="Y34" s="31">
        <v>-22</v>
      </c>
      <c r="Z34" s="559">
        <f t="shared" si="5"/>
        <v>82.671648762260631</v>
      </c>
      <c r="AA34" s="577">
        <f t="shared" si="6"/>
        <v>82.933985330073341</v>
      </c>
      <c r="AB34" s="577" t="str">
        <f t="shared" si="7"/>
        <v xml:space="preserve"> </v>
      </c>
      <c r="AC34" s="577" t="str">
        <f t="shared" si="8"/>
        <v xml:space="preserve"> </v>
      </c>
      <c r="AD34" s="562">
        <f t="shared" si="9"/>
        <v>77.083333333333343</v>
      </c>
    </row>
    <row r="35" spans="2:30" ht="15" thickBot="1" x14ac:dyDescent="0.25">
      <c r="B35" s="339" t="s">
        <v>301</v>
      </c>
      <c r="C35" s="338" t="s">
        <v>498</v>
      </c>
      <c r="D35" s="394" t="s">
        <v>286</v>
      </c>
      <c r="E35" s="35" t="s">
        <v>526</v>
      </c>
      <c r="F35" s="404">
        <f t="shared" si="0"/>
        <v>0</v>
      </c>
      <c r="G35" s="403">
        <v>0</v>
      </c>
      <c r="H35" s="403">
        <v>0</v>
      </c>
      <c r="I35" s="403">
        <v>0</v>
      </c>
      <c r="J35" s="403">
        <v>0</v>
      </c>
      <c r="K35" s="30">
        <f t="shared" si="1"/>
        <v>0</v>
      </c>
      <c r="L35" s="27">
        <v>0</v>
      </c>
      <c r="M35" s="27">
        <v>0</v>
      </c>
      <c r="N35" s="27">
        <v>0</v>
      </c>
      <c r="O35" s="27">
        <v>0</v>
      </c>
      <c r="P35" s="30">
        <f t="shared" si="2"/>
        <v>110</v>
      </c>
      <c r="Q35" s="27">
        <v>110</v>
      </c>
      <c r="R35" s="27">
        <v>0</v>
      </c>
      <c r="S35" s="27">
        <v>0</v>
      </c>
      <c r="T35" s="27">
        <v>0</v>
      </c>
      <c r="U35" s="30">
        <f t="shared" si="3"/>
        <v>110</v>
      </c>
      <c r="V35" s="27">
        <v>110</v>
      </c>
      <c r="W35" s="27">
        <v>0</v>
      </c>
      <c r="X35" s="27">
        <v>0</v>
      </c>
      <c r="Y35" s="31">
        <v>0</v>
      </c>
      <c r="Z35" s="559" t="str">
        <f t="shared" si="5"/>
        <v xml:space="preserve"> </v>
      </c>
      <c r="AA35" s="577" t="str">
        <f t="shared" si="6"/>
        <v xml:space="preserve"> </v>
      </c>
      <c r="AB35" s="577" t="str">
        <f t="shared" si="7"/>
        <v xml:space="preserve"> </v>
      </c>
      <c r="AC35" s="577" t="str">
        <f t="shared" si="8"/>
        <v xml:space="preserve"> </v>
      </c>
      <c r="AD35" s="562" t="str">
        <f t="shared" si="9"/>
        <v xml:space="preserve"> </v>
      </c>
    </row>
    <row r="36" spans="2:30" ht="26.25" thickBot="1" x14ac:dyDescent="0.25">
      <c r="B36" s="336" t="s">
        <v>301</v>
      </c>
      <c r="C36" s="335"/>
      <c r="D36" s="393" t="s">
        <v>286</v>
      </c>
      <c r="E36" s="333" t="s">
        <v>526</v>
      </c>
      <c r="F36" s="400">
        <f t="shared" si="0"/>
        <v>4978</v>
      </c>
      <c r="G36" s="402">
        <f>SUM(G33:G35)</f>
        <v>4811</v>
      </c>
      <c r="H36" s="402">
        <f>SUM(H33:H35)</f>
        <v>0</v>
      </c>
      <c r="I36" s="402">
        <f>SUM(I33:I35)</f>
        <v>0</v>
      </c>
      <c r="J36" s="402">
        <f>SUM(J33:J35)</f>
        <v>167</v>
      </c>
      <c r="K36" s="400">
        <f t="shared" si="1"/>
        <v>4978</v>
      </c>
      <c r="L36" s="402">
        <f>SUM(L33:L35)</f>
        <v>4811</v>
      </c>
      <c r="M36" s="402">
        <f>SUM(M33:M35)</f>
        <v>0</v>
      </c>
      <c r="N36" s="402">
        <f>SUM(N33:N35)</f>
        <v>0</v>
      </c>
      <c r="O36" s="402">
        <f>SUM(O33:O35)</f>
        <v>167</v>
      </c>
      <c r="P36" s="400">
        <f t="shared" si="2"/>
        <v>4692</v>
      </c>
      <c r="Q36" s="402">
        <f>SUM(Q33:Q35)</f>
        <v>4570</v>
      </c>
      <c r="R36" s="402">
        <f>SUM(R33:R35)</f>
        <v>0</v>
      </c>
      <c r="S36" s="402">
        <f>SUM(S33:S35)</f>
        <v>0</v>
      </c>
      <c r="T36" s="402">
        <f>SUM(T33:T35)</f>
        <v>122</v>
      </c>
      <c r="U36" s="400">
        <f t="shared" si="3"/>
        <v>-286</v>
      </c>
      <c r="V36" s="402">
        <f>SUM(V33:V35)</f>
        <v>-241</v>
      </c>
      <c r="W36" s="402">
        <f>SUM(W33:W35)</f>
        <v>0</v>
      </c>
      <c r="X36" s="402">
        <f>SUM(X33:X35)</f>
        <v>0</v>
      </c>
      <c r="Y36" s="401">
        <f>SUM(Y33:Y35)</f>
        <v>-45</v>
      </c>
      <c r="Z36" s="581">
        <f t="shared" si="5"/>
        <v>94.254720771394133</v>
      </c>
      <c r="AA36" s="582">
        <f t="shared" si="6"/>
        <v>94.990646435252543</v>
      </c>
      <c r="AB36" s="582" t="str">
        <f t="shared" si="7"/>
        <v xml:space="preserve"> </v>
      </c>
      <c r="AC36" s="582" t="str">
        <f t="shared" si="8"/>
        <v xml:space="preserve"> </v>
      </c>
      <c r="AD36" s="583">
        <f t="shared" si="9"/>
        <v>73.053892215568865</v>
      </c>
    </row>
    <row r="37" spans="2:30" ht="26.25" thickBot="1" x14ac:dyDescent="0.25">
      <c r="B37" s="339" t="s">
        <v>300</v>
      </c>
      <c r="C37" s="338" t="s">
        <v>511</v>
      </c>
      <c r="D37" s="394" t="s">
        <v>286</v>
      </c>
      <c r="E37" s="35" t="s">
        <v>574</v>
      </c>
      <c r="F37" s="404">
        <f t="shared" si="0"/>
        <v>2665</v>
      </c>
      <c r="G37" s="403">
        <v>1867</v>
      </c>
      <c r="H37" s="403">
        <v>0</v>
      </c>
      <c r="I37" s="403">
        <v>0</v>
      </c>
      <c r="J37" s="403">
        <v>798</v>
      </c>
      <c r="K37" s="30">
        <f t="shared" si="1"/>
        <v>2665</v>
      </c>
      <c r="L37" s="27">
        <v>1867</v>
      </c>
      <c r="M37" s="27">
        <v>0</v>
      </c>
      <c r="N37" s="27">
        <v>0</v>
      </c>
      <c r="O37" s="27">
        <v>798</v>
      </c>
      <c r="P37" s="30">
        <f t="shared" si="2"/>
        <v>2659</v>
      </c>
      <c r="Q37" s="27">
        <v>1867</v>
      </c>
      <c r="R37" s="27">
        <v>0</v>
      </c>
      <c r="S37" s="27">
        <v>0</v>
      </c>
      <c r="T37" s="27">
        <v>792</v>
      </c>
      <c r="U37" s="30">
        <f t="shared" si="3"/>
        <v>-6</v>
      </c>
      <c r="V37" s="27">
        <v>0</v>
      </c>
      <c r="W37" s="27">
        <v>0</v>
      </c>
      <c r="X37" s="27">
        <v>0</v>
      </c>
      <c r="Y37" s="31">
        <v>-6</v>
      </c>
      <c r="Z37" s="559">
        <f t="shared" si="5"/>
        <v>99.774859287054412</v>
      </c>
      <c r="AA37" s="577">
        <f t="shared" si="6"/>
        <v>100</v>
      </c>
      <c r="AB37" s="577" t="str">
        <f t="shared" si="7"/>
        <v xml:space="preserve"> </v>
      </c>
      <c r="AC37" s="577" t="str">
        <f t="shared" si="8"/>
        <v xml:space="preserve"> </v>
      </c>
      <c r="AD37" s="562">
        <f t="shared" si="9"/>
        <v>99.248120300751879</v>
      </c>
    </row>
    <row r="38" spans="2:30" ht="26.25" thickBot="1" x14ac:dyDescent="0.25">
      <c r="B38" s="339" t="s">
        <v>300</v>
      </c>
      <c r="C38" s="338" t="s">
        <v>506</v>
      </c>
      <c r="D38" s="394" t="s">
        <v>286</v>
      </c>
      <c r="E38" s="35" t="s">
        <v>574</v>
      </c>
      <c r="F38" s="404">
        <f t="shared" si="0"/>
        <v>6637</v>
      </c>
      <c r="G38" s="403">
        <v>5574</v>
      </c>
      <c r="H38" s="403">
        <v>0</v>
      </c>
      <c r="I38" s="403">
        <v>0</v>
      </c>
      <c r="J38" s="403">
        <v>1063</v>
      </c>
      <c r="K38" s="30">
        <f t="shared" si="1"/>
        <v>6637</v>
      </c>
      <c r="L38" s="27">
        <v>5534</v>
      </c>
      <c r="M38" s="27">
        <v>40</v>
      </c>
      <c r="N38" s="27">
        <v>0</v>
      </c>
      <c r="O38" s="27">
        <v>1063</v>
      </c>
      <c r="P38" s="30">
        <f t="shared" si="2"/>
        <v>5930</v>
      </c>
      <c r="Q38" s="27">
        <v>5034</v>
      </c>
      <c r="R38" s="27">
        <v>0</v>
      </c>
      <c r="S38" s="27">
        <v>0</v>
      </c>
      <c r="T38" s="27">
        <v>896</v>
      </c>
      <c r="U38" s="30">
        <f t="shared" si="3"/>
        <v>-707</v>
      </c>
      <c r="V38" s="27">
        <v>-540</v>
      </c>
      <c r="W38" s="27">
        <v>0</v>
      </c>
      <c r="X38" s="27">
        <v>0</v>
      </c>
      <c r="Y38" s="31">
        <v>-167</v>
      </c>
      <c r="Z38" s="559">
        <f t="shared" si="5"/>
        <v>89.347596805785741</v>
      </c>
      <c r="AA38" s="577">
        <f t="shared" si="6"/>
        <v>90.312163616792247</v>
      </c>
      <c r="AB38" s="577" t="str">
        <f t="shared" si="7"/>
        <v xml:space="preserve"> </v>
      </c>
      <c r="AC38" s="577" t="str">
        <f t="shared" si="8"/>
        <v xml:space="preserve"> </v>
      </c>
      <c r="AD38" s="562">
        <f t="shared" si="9"/>
        <v>84.289746001881468</v>
      </c>
    </row>
    <row r="39" spans="2:30" ht="26.25" thickBot="1" x14ac:dyDescent="0.25">
      <c r="B39" s="339" t="s">
        <v>300</v>
      </c>
      <c r="C39" s="338" t="s">
        <v>514</v>
      </c>
      <c r="D39" s="394" t="s">
        <v>286</v>
      </c>
      <c r="E39" s="35" t="s">
        <v>574</v>
      </c>
      <c r="F39" s="404">
        <f t="shared" si="0"/>
        <v>52</v>
      </c>
      <c r="G39" s="403">
        <v>52</v>
      </c>
      <c r="H39" s="403">
        <v>0</v>
      </c>
      <c r="I39" s="403">
        <v>0</v>
      </c>
      <c r="J39" s="403">
        <v>0</v>
      </c>
      <c r="K39" s="30">
        <f t="shared" si="1"/>
        <v>52</v>
      </c>
      <c r="L39" s="27">
        <v>52</v>
      </c>
      <c r="M39" s="27">
        <v>0</v>
      </c>
      <c r="N39" s="27">
        <v>0</v>
      </c>
      <c r="O39" s="27">
        <v>0</v>
      </c>
      <c r="P39" s="30">
        <f t="shared" si="2"/>
        <v>52</v>
      </c>
      <c r="Q39" s="27">
        <v>52</v>
      </c>
      <c r="R39" s="27">
        <v>0</v>
      </c>
      <c r="S39" s="27">
        <v>0</v>
      </c>
      <c r="T39" s="27">
        <v>0</v>
      </c>
      <c r="U39" s="30">
        <f t="shared" si="3"/>
        <v>0</v>
      </c>
      <c r="V39" s="27">
        <v>0</v>
      </c>
      <c r="W39" s="27">
        <v>0</v>
      </c>
      <c r="X39" s="27">
        <v>0</v>
      </c>
      <c r="Y39" s="31">
        <v>0</v>
      </c>
      <c r="Z39" s="559">
        <f t="shared" si="5"/>
        <v>100</v>
      </c>
      <c r="AA39" s="577">
        <f t="shared" si="6"/>
        <v>100</v>
      </c>
      <c r="AB39" s="577" t="str">
        <f t="shared" si="7"/>
        <v xml:space="preserve"> </v>
      </c>
      <c r="AC39" s="577" t="str">
        <f t="shared" si="8"/>
        <v xml:space="preserve"> </v>
      </c>
      <c r="AD39" s="562" t="str">
        <f t="shared" si="9"/>
        <v xml:space="preserve"> </v>
      </c>
    </row>
    <row r="40" spans="2:30" ht="26.25" thickBot="1" x14ac:dyDescent="0.25">
      <c r="B40" s="339" t="s">
        <v>300</v>
      </c>
      <c r="C40" s="338" t="s">
        <v>498</v>
      </c>
      <c r="D40" s="394" t="s">
        <v>286</v>
      </c>
      <c r="E40" s="35" t="s">
        <v>574</v>
      </c>
      <c r="F40" s="404">
        <f t="shared" si="0"/>
        <v>852</v>
      </c>
      <c r="G40" s="403">
        <v>752</v>
      </c>
      <c r="H40" s="403">
        <v>0</v>
      </c>
      <c r="I40" s="403">
        <v>0</v>
      </c>
      <c r="J40" s="403">
        <v>100</v>
      </c>
      <c r="K40" s="30">
        <f t="shared" si="1"/>
        <v>852</v>
      </c>
      <c r="L40" s="27">
        <v>752</v>
      </c>
      <c r="M40" s="27">
        <v>0</v>
      </c>
      <c r="N40" s="27">
        <v>0</v>
      </c>
      <c r="O40" s="27">
        <v>100</v>
      </c>
      <c r="P40" s="30">
        <f t="shared" si="2"/>
        <v>880</v>
      </c>
      <c r="Q40" s="27">
        <v>752</v>
      </c>
      <c r="R40" s="27">
        <v>0</v>
      </c>
      <c r="S40" s="27">
        <v>0</v>
      </c>
      <c r="T40" s="27">
        <v>128</v>
      </c>
      <c r="U40" s="30">
        <f t="shared" si="3"/>
        <v>28</v>
      </c>
      <c r="V40" s="27">
        <v>0</v>
      </c>
      <c r="W40" s="27">
        <v>0</v>
      </c>
      <c r="X40" s="27">
        <v>0</v>
      </c>
      <c r="Y40" s="31">
        <v>28</v>
      </c>
      <c r="Z40" s="559">
        <f t="shared" si="5"/>
        <v>103.28638497652582</v>
      </c>
      <c r="AA40" s="577">
        <f t="shared" si="6"/>
        <v>100</v>
      </c>
      <c r="AB40" s="577" t="str">
        <f t="shared" si="7"/>
        <v xml:space="preserve"> </v>
      </c>
      <c r="AC40" s="577" t="str">
        <f t="shared" si="8"/>
        <v xml:space="preserve"> </v>
      </c>
      <c r="AD40" s="562">
        <f t="shared" si="9"/>
        <v>128</v>
      </c>
    </row>
    <row r="41" spans="2:30" ht="26.25" thickBot="1" x14ac:dyDescent="0.25">
      <c r="B41" s="339" t="s">
        <v>300</v>
      </c>
      <c r="C41" s="338" t="s">
        <v>505</v>
      </c>
      <c r="D41" s="394" t="s">
        <v>286</v>
      </c>
      <c r="E41" s="35" t="s">
        <v>574</v>
      </c>
      <c r="F41" s="404">
        <f t="shared" si="0"/>
        <v>833</v>
      </c>
      <c r="G41" s="403">
        <v>555</v>
      </c>
      <c r="H41" s="403">
        <v>0</v>
      </c>
      <c r="I41" s="403">
        <v>0</v>
      </c>
      <c r="J41" s="403">
        <v>278</v>
      </c>
      <c r="K41" s="30">
        <f t="shared" si="1"/>
        <v>833</v>
      </c>
      <c r="L41" s="27">
        <v>555</v>
      </c>
      <c r="M41" s="27">
        <v>0</v>
      </c>
      <c r="N41" s="27">
        <v>0</v>
      </c>
      <c r="O41" s="27">
        <v>278</v>
      </c>
      <c r="P41" s="30">
        <f t="shared" si="2"/>
        <v>716</v>
      </c>
      <c r="Q41" s="27">
        <v>555</v>
      </c>
      <c r="R41" s="27">
        <v>0</v>
      </c>
      <c r="S41" s="27">
        <v>0</v>
      </c>
      <c r="T41" s="27">
        <v>161</v>
      </c>
      <c r="U41" s="30">
        <f t="shared" si="3"/>
        <v>-117</v>
      </c>
      <c r="V41" s="27">
        <v>0</v>
      </c>
      <c r="W41" s="27">
        <v>0</v>
      </c>
      <c r="X41" s="27">
        <v>0</v>
      </c>
      <c r="Y41" s="31">
        <v>-117</v>
      </c>
      <c r="Z41" s="559">
        <f t="shared" si="5"/>
        <v>85.954381752701082</v>
      </c>
      <c r="AA41" s="577">
        <f t="shared" si="6"/>
        <v>100</v>
      </c>
      <c r="AB41" s="577" t="str">
        <f t="shared" si="7"/>
        <v xml:space="preserve"> </v>
      </c>
      <c r="AC41" s="577" t="str">
        <f t="shared" si="8"/>
        <v xml:space="preserve"> </v>
      </c>
      <c r="AD41" s="562">
        <f t="shared" si="9"/>
        <v>57.913669064748198</v>
      </c>
    </row>
    <row r="42" spans="2:30" ht="26.25" thickBot="1" x14ac:dyDescent="0.25">
      <c r="B42" s="336" t="s">
        <v>300</v>
      </c>
      <c r="C42" s="335"/>
      <c r="D42" s="393" t="s">
        <v>286</v>
      </c>
      <c r="E42" s="333" t="s">
        <v>574</v>
      </c>
      <c r="F42" s="400">
        <f t="shared" si="0"/>
        <v>11039</v>
      </c>
      <c r="G42" s="402">
        <f>SUM(G37:G41)</f>
        <v>8800</v>
      </c>
      <c r="H42" s="402">
        <f>SUM(H37:H41)</f>
        <v>0</v>
      </c>
      <c r="I42" s="402">
        <f>SUM(I37:I41)</f>
        <v>0</v>
      </c>
      <c r="J42" s="402">
        <f>SUM(J37:J41)</f>
        <v>2239</v>
      </c>
      <c r="K42" s="400">
        <f t="shared" si="1"/>
        <v>11039</v>
      </c>
      <c r="L42" s="402">
        <f>SUM(L37:L41)</f>
        <v>8760</v>
      </c>
      <c r="M42" s="402">
        <f>SUM(M37:M41)</f>
        <v>40</v>
      </c>
      <c r="N42" s="402">
        <f>SUM(N37:N41)</f>
        <v>0</v>
      </c>
      <c r="O42" s="402">
        <f>SUM(O37:O41)</f>
        <v>2239</v>
      </c>
      <c r="P42" s="400">
        <f t="shared" si="2"/>
        <v>10237</v>
      </c>
      <c r="Q42" s="402">
        <f>SUM(Q37:Q41)</f>
        <v>8260</v>
      </c>
      <c r="R42" s="402">
        <f>SUM(R37:R41)</f>
        <v>0</v>
      </c>
      <c r="S42" s="402">
        <f>SUM(S37:S41)</f>
        <v>0</v>
      </c>
      <c r="T42" s="402">
        <f>SUM(T37:T41)</f>
        <v>1977</v>
      </c>
      <c r="U42" s="400">
        <f t="shared" si="3"/>
        <v>-802</v>
      </c>
      <c r="V42" s="402">
        <f>SUM(V37:V41)</f>
        <v>-540</v>
      </c>
      <c r="W42" s="402">
        <f>SUM(W37:W41)</f>
        <v>0</v>
      </c>
      <c r="X42" s="402">
        <f>SUM(X37:X41)</f>
        <v>0</v>
      </c>
      <c r="Y42" s="401">
        <f>SUM(Y37:Y41)</f>
        <v>-262</v>
      </c>
      <c r="Z42" s="581">
        <f t="shared" si="5"/>
        <v>92.734849171120572</v>
      </c>
      <c r="AA42" s="582">
        <f t="shared" si="6"/>
        <v>93.86363636363636</v>
      </c>
      <c r="AB42" s="582" t="str">
        <f t="shared" si="7"/>
        <v xml:space="preserve"> </v>
      </c>
      <c r="AC42" s="582" t="str">
        <f t="shared" si="8"/>
        <v xml:space="preserve"> </v>
      </c>
      <c r="AD42" s="583">
        <f t="shared" si="9"/>
        <v>88.298347476552024</v>
      </c>
    </row>
    <row r="43" spans="2:30" ht="15" thickBot="1" x14ac:dyDescent="0.25">
      <c r="B43" s="339" t="s">
        <v>299</v>
      </c>
      <c r="C43" s="338" t="s">
        <v>511</v>
      </c>
      <c r="D43" s="394" t="s">
        <v>286</v>
      </c>
      <c r="E43" s="35" t="s">
        <v>298</v>
      </c>
      <c r="F43" s="404">
        <f t="shared" si="0"/>
        <v>1204</v>
      </c>
      <c r="G43" s="403">
        <v>1040</v>
      </c>
      <c r="H43" s="403">
        <v>0</v>
      </c>
      <c r="I43" s="403">
        <v>0</v>
      </c>
      <c r="J43" s="403">
        <v>164</v>
      </c>
      <c r="K43" s="30">
        <f t="shared" si="1"/>
        <v>1204</v>
      </c>
      <c r="L43" s="27">
        <v>1040</v>
      </c>
      <c r="M43" s="27">
        <v>0</v>
      </c>
      <c r="N43" s="27">
        <v>0</v>
      </c>
      <c r="O43" s="27">
        <v>164</v>
      </c>
      <c r="P43" s="30">
        <f t="shared" si="2"/>
        <v>1187</v>
      </c>
      <c r="Q43" s="27">
        <v>988</v>
      </c>
      <c r="R43" s="27">
        <v>0</v>
      </c>
      <c r="S43" s="27">
        <v>0</v>
      </c>
      <c r="T43" s="27">
        <v>199</v>
      </c>
      <c r="U43" s="30">
        <f t="shared" si="3"/>
        <v>-17</v>
      </c>
      <c r="V43" s="27">
        <v>-52</v>
      </c>
      <c r="W43" s="27">
        <v>0</v>
      </c>
      <c r="X43" s="27">
        <v>0</v>
      </c>
      <c r="Y43" s="31">
        <v>35</v>
      </c>
      <c r="Z43" s="559">
        <f t="shared" si="5"/>
        <v>98.588039867109629</v>
      </c>
      <c r="AA43" s="577">
        <f t="shared" si="6"/>
        <v>95</v>
      </c>
      <c r="AB43" s="577" t="str">
        <f t="shared" si="7"/>
        <v xml:space="preserve"> </v>
      </c>
      <c r="AC43" s="577" t="str">
        <f t="shared" si="8"/>
        <v xml:space="preserve"> </v>
      </c>
      <c r="AD43" s="562">
        <f t="shared" si="9"/>
        <v>121.34146341463415</v>
      </c>
    </row>
    <row r="44" spans="2:30" ht="15.75" thickBot="1" x14ac:dyDescent="0.25">
      <c r="B44" s="336" t="s">
        <v>299</v>
      </c>
      <c r="C44" s="335"/>
      <c r="D44" s="393" t="s">
        <v>286</v>
      </c>
      <c r="E44" s="333" t="s">
        <v>298</v>
      </c>
      <c r="F44" s="400">
        <f t="shared" si="0"/>
        <v>1204</v>
      </c>
      <c r="G44" s="402">
        <f>SUM(G43)</f>
        <v>1040</v>
      </c>
      <c r="H44" s="402">
        <f>SUM(H43)</f>
        <v>0</v>
      </c>
      <c r="I44" s="402">
        <f>SUM(I43)</f>
        <v>0</v>
      </c>
      <c r="J44" s="402">
        <f>SUM(J43)</f>
        <v>164</v>
      </c>
      <c r="K44" s="400">
        <f t="shared" si="1"/>
        <v>1204</v>
      </c>
      <c r="L44" s="402">
        <f>SUM(L43)</f>
        <v>1040</v>
      </c>
      <c r="M44" s="402">
        <f>SUM(M43)</f>
        <v>0</v>
      </c>
      <c r="N44" s="402">
        <f>SUM(N43)</f>
        <v>0</v>
      </c>
      <c r="O44" s="402">
        <f>SUM(O43)</f>
        <v>164</v>
      </c>
      <c r="P44" s="400">
        <f t="shared" si="2"/>
        <v>1187</v>
      </c>
      <c r="Q44" s="402">
        <f>SUM(Q43)</f>
        <v>988</v>
      </c>
      <c r="R44" s="402">
        <f>SUM(R43)</f>
        <v>0</v>
      </c>
      <c r="S44" s="402">
        <f>SUM(S43)</f>
        <v>0</v>
      </c>
      <c r="T44" s="402">
        <f>SUM(T43)</f>
        <v>199</v>
      </c>
      <c r="U44" s="400">
        <f t="shared" si="3"/>
        <v>-17</v>
      </c>
      <c r="V44" s="402">
        <f>SUM(V43)</f>
        <v>-52</v>
      </c>
      <c r="W44" s="402">
        <f>SUM(W43)</f>
        <v>0</v>
      </c>
      <c r="X44" s="402">
        <f>SUM(X43)</f>
        <v>0</v>
      </c>
      <c r="Y44" s="401">
        <f>SUM(Y43)</f>
        <v>35</v>
      </c>
      <c r="Z44" s="581">
        <f t="shared" si="5"/>
        <v>98.588039867109629</v>
      </c>
      <c r="AA44" s="582">
        <f t="shared" si="6"/>
        <v>95</v>
      </c>
      <c r="AB44" s="582" t="str">
        <f t="shared" si="7"/>
        <v xml:space="preserve"> </v>
      </c>
      <c r="AC44" s="582" t="str">
        <f t="shared" si="8"/>
        <v xml:space="preserve"> </v>
      </c>
      <c r="AD44" s="583">
        <f t="shared" si="9"/>
        <v>121.34146341463415</v>
      </c>
    </row>
    <row r="45" spans="2:30" ht="15" thickBot="1" x14ac:dyDescent="0.25">
      <c r="B45" s="339" t="s">
        <v>297</v>
      </c>
      <c r="C45" s="338" t="s">
        <v>511</v>
      </c>
      <c r="D45" s="394" t="s">
        <v>286</v>
      </c>
      <c r="E45" s="35" t="s">
        <v>296</v>
      </c>
      <c r="F45" s="404">
        <f t="shared" si="0"/>
        <v>1538</v>
      </c>
      <c r="G45" s="403">
        <v>1502</v>
      </c>
      <c r="H45" s="403">
        <v>0</v>
      </c>
      <c r="I45" s="403">
        <v>0</v>
      </c>
      <c r="J45" s="403">
        <v>36</v>
      </c>
      <c r="K45" s="30">
        <f t="shared" si="1"/>
        <v>1538</v>
      </c>
      <c r="L45" s="27">
        <v>1502</v>
      </c>
      <c r="M45" s="27">
        <v>0</v>
      </c>
      <c r="N45" s="27">
        <v>0</v>
      </c>
      <c r="O45" s="27">
        <v>36</v>
      </c>
      <c r="P45" s="30">
        <f t="shared" si="2"/>
        <v>1475</v>
      </c>
      <c r="Q45" s="27">
        <v>1427</v>
      </c>
      <c r="R45" s="27">
        <v>0</v>
      </c>
      <c r="S45" s="27">
        <v>0</v>
      </c>
      <c r="T45" s="27">
        <v>48</v>
      </c>
      <c r="U45" s="30">
        <f t="shared" si="3"/>
        <v>-63</v>
      </c>
      <c r="V45" s="27">
        <v>-75</v>
      </c>
      <c r="W45" s="27">
        <v>0</v>
      </c>
      <c r="X45" s="27">
        <v>0</v>
      </c>
      <c r="Y45" s="31">
        <v>12</v>
      </c>
      <c r="Z45" s="559">
        <f t="shared" si="5"/>
        <v>95.903771131339397</v>
      </c>
      <c r="AA45" s="577">
        <f t="shared" si="6"/>
        <v>95.00665778961384</v>
      </c>
      <c r="AB45" s="577" t="str">
        <f t="shared" si="7"/>
        <v xml:space="preserve"> </v>
      </c>
      <c r="AC45" s="577" t="str">
        <f t="shared" si="8"/>
        <v xml:space="preserve"> </v>
      </c>
      <c r="AD45" s="562">
        <f t="shared" si="9"/>
        <v>133.33333333333331</v>
      </c>
    </row>
    <row r="46" spans="2:30" ht="26.25" thickBot="1" x14ac:dyDescent="0.25">
      <c r="B46" s="336" t="s">
        <v>297</v>
      </c>
      <c r="C46" s="335"/>
      <c r="D46" s="393" t="s">
        <v>286</v>
      </c>
      <c r="E46" s="333" t="s">
        <v>296</v>
      </c>
      <c r="F46" s="400">
        <f t="shared" si="0"/>
        <v>1538</v>
      </c>
      <c r="G46" s="402">
        <f>SUM(G45)</f>
        <v>1502</v>
      </c>
      <c r="H46" s="402">
        <f>SUM(H45)</f>
        <v>0</v>
      </c>
      <c r="I46" s="402">
        <f>SUM(I45)</f>
        <v>0</v>
      </c>
      <c r="J46" s="402">
        <f>SUM(J45)</f>
        <v>36</v>
      </c>
      <c r="K46" s="400">
        <f t="shared" si="1"/>
        <v>1538</v>
      </c>
      <c r="L46" s="402">
        <f>SUM(L45)</f>
        <v>1502</v>
      </c>
      <c r="M46" s="402">
        <f>SUM(M45)</f>
        <v>0</v>
      </c>
      <c r="N46" s="402">
        <f>SUM(N45)</f>
        <v>0</v>
      </c>
      <c r="O46" s="402">
        <f>SUM(O45)</f>
        <v>36</v>
      </c>
      <c r="P46" s="400">
        <f t="shared" si="2"/>
        <v>1475</v>
      </c>
      <c r="Q46" s="402">
        <f>SUM(Q45)</f>
        <v>1427</v>
      </c>
      <c r="R46" s="402">
        <f>SUM(R45)</f>
        <v>0</v>
      </c>
      <c r="S46" s="402">
        <f>SUM(S45)</f>
        <v>0</v>
      </c>
      <c r="T46" s="402">
        <f>SUM(T45)</f>
        <v>48</v>
      </c>
      <c r="U46" s="400">
        <f t="shared" si="3"/>
        <v>-63</v>
      </c>
      <c r="V46" s="402">
        <f>SUM(V45)</f>
        <v>-75</v>
      </c>
      <c r="W46" s="402">
        <f>SUM(W45)</f>
        <v>0</v>
      </c>
      <c r="X46" s="402">
        <f>SUM(X45)</f>
        <v>0</v>
      </c>
      <c r="Y46" s="401">
        <f>SUM(Y45)</f>
        <v>12</v>
      </c>
      <c r="Z46" s="581">
        <f t="shared" si="5"/>
        <v>95.903771131339397</v>
      </c>
      <c r="AA46" s="582">
        <f t="shared" si="6"/>
        <v>95.00665778961384</v>
      </c>
      <c r="AB46" s="582" t="str">
        <f t="shared" si="7"/>
        <v xml:space="preserve"> </v>
      </c>
      <c r="AC46" s="582" t="str">
        <f t="shared" si="8"/>
        <v xml:space="preserve"> </v>
      </c>
      <c r="AD46" s="583">
        <f t="shared" si="9"/>
        <v>133.33333333333331</v>
      </c>
    </row>
    <row r="47" spans="2:30" ht="15" thickBot="1" x14ac:dyDescent="0.25">
      <c r="B47" s="339" t="s">
        <v>295</v>
      </c>
      <c r="C47" s="338" t="s">
        <v>506</v>
      </c>
      <c r="D47" s="394" t="s">
        <v>286</v>
      </c>
      <c r="E47" s="35" t="s">
        <v>294</v>
      </c>
      <c r="F47" s="404">
        <f t="shared" si="0"/>
        <v>3172</v>
      </c>
      <c r="G47" s="403">
        <v>2891</v>
      </c>
      <c r="H47" s="403">
        <v>0</v>
      </c>
      <c r="I47" s="403">
        <v>0</v>
      </c>
      <c r="J47" s="403">
        <v>281</v>
      </c>
      <c r="K47" s="30">
        <f t="shared" si="1"/>
        <v>3172</v>
      </c>
      <c r="L47" s="27">
        <v>2891</v>
      </c>
      <c r="M47" s="27">
        <v>0</v>
      </c>
      <c r="N47" s="27">
        <v>0</v>
      </c>
      <c r="O47" s="27">
        <v>281</v>
      </c>
      <c r="P47" s="30">
        <f t="shared" si="2"/>
        <v>3051</v>
      </c>
      <c r="Q47" s="27">
        <v>2736</v>
      </c>
      <c r="R47" s="27">
        <v>0</v>
      </c>
      <c r="S47" s="27">
        <v>0</v>
      </c>
      <c r="T47" s="27">
        <v>315</v>
      </c>
      <c r="U47" s="30">
        <f t="shared" si="3"/>
        <v>-121</v>
      </c>
      <c r="V47" s="27">
        <v>-155</v>
      </c>
      <c r="W47" s="27">
        <v>0</v>
      </c>
      <c r="X47" s="27">
        <v>0</v>
      </c>
      <c r="Y47" s="31">
        <v>34</v>
      </c>
      <c r="Z47" s="559">
        <f t="shared" si="5"/>
        <v>96.18537200504413</v>
      </c>
      <c r="AA47" s="577">
        <f t="shared" si="6"/>
        <v>94.638533379453477</v>
      </c>
      <c r="AB47" s="577" t="str">
        <f t="shared" si="7"/>
        <v xml:space="preserve"> </v>
      </c>
      <c r="AC47" s="577" t="str">
        <f t="shared" si="8"/>
        <v xml:space="preserve"> </v>
      </c>
      <c r="AD47" s="562">
        <f t="shared" si="9"/>
        <v>112.09964412811388</v>
      </c>
    </row>
    <row r="48" spans="2:30" ht="15" thickBot="1" x14ac:dyDescent="0.25">
      <c r="B48" s="339" t="s">
        <v>295</v>
      </c>
      <c r="C48" s="338" t="s">
        <v>498</v>
      </c>
      <c r="D48" s="394" t="s">
        <v>286</v>
      </c>
      <c r="E48" s="35" t="s">
        <v>294</v>
      </c>
      <c r="F48" s="404">
        <f t="shared" si="0"/>
        <v>200</v>
      </c>
      <c r="G48" s="403">
        <v>200</v>
      </c>
      <c r="H48" s="403">
        <v>0</v>
      </c>
      <c r="I48" s="403">
        <v>0</v>
      </c>
      <c r="J48" s="403">
        <v>0</v>
      </c>
      <c r="K48" s="30">
        <f t="shared" si="1"/>
        <v>200</v>
      </c>
      <c r="L48" s="27">
        <v>200</v>
      </c>
      <c r="M48" s="27">
        <v>0</v>
      </c>
      <c r="N48" s="27">
        <v>0</v>
      </c>
      <c r="O48" s="27">
        <v>0</v>
      </c>
      <c r="P48" s="30">
        <f t="shared" si="2"/>
        <v>200</v>
      </c>
      <c r="Q48" s="27">
        <v>200</v>
      </c>
      <c r="R48" s="27">
        <v>0</v>
      </c>
      <c r="S48" s="27">
        <v>0</v>
      </c>
      <c r="T48" s="27">
        <v>0</v>
      </c>
      <c r="U48" s="30">
        <f t="shared" si="3"/>
        <v>0</v>
      </c>
      <c r="V48" s="27">
        <v>0</v>
      </c>
      <c r="W48" s="27">
        <v>0</v>
      </c>
      <c r="X48" s="27">
        <v>0</v>
      </c>
      <c r="Y48" s="31">
        <v>0</v>
      </c>
      <c r="Z48" s="559">
        <f t="shared" si="5"/>
        <v>100</v>
      </c>
      <c r="AA48" s="577">
        <f t="shared" si="6"/>
        <v>100</v>
      </c>
      <c r="AB48" s="577" t="str">
        <f t="shared" si="7"/>
        <v xml:space="preserve"> </v>
      </c>
      <c r="AC48" s="577" t="str">
        <f t="shared" si="8"/>
        <v xml:space="preserve"> </v>
      </c>
      <c r="AD48" s="562" t="str">
        <f t="shared" si="9"/>
        <v xml:space="preserve"> </v>
      </c>
    </row>
    <row r="49" spans="2:30" ht="15.75" thickBot="1" x14ac:dyDescent="0.25">
      <c r="B49" s="336" t="s">
        <v>295</v>
      </c>
      <c r="C49" s="335"/>
      <c r="D49" s="393" t="s">
        <v>286</v>
      </c>
      <c r="E49" s="333" t="s">
        <v>294</v>
      </c>
      <c r="F49" s="400">
        <f t="shared" si="0"/>
        <v>3372</v>
      </c>
      <c r="G49" s="402">
        <f>SUM(G47:G48)</f>
        <v>3091</v>
      </c>
      <c r="H49" s="402">
        <f>SUM(H47:H48)</f>
        <v>0</v>
      </c>
      <c r="I49" s="402">
        <f>SUM(I47:I48)</f>
        <v>0</v>
      </c>
      <c r="J49" s="402">
        <f>SUM(J47:J48)</f>
        <v>281</v>
      </c>
      <c r="K49" s="400">
        <f t="shared" si="1"/>
        <v>3372</v>
      </c>
      <c r="L49" s="402">
        <f>SUM(L47:L48)</f>
        <v>3091</v>
      </c>
      <c r="M49" s="402">
        <f>SUM(M47:M48)</f>
        <v>0</v>
      </c>
      <c r="N49" s="402">
        <f>SUM(N47:N48)</f>
        <v>0</v>
      </c>
      <c r="O49" s="402">
        <f>SUM(O47:O48)</f>
        <v>281</v>
      </c>
      <c r="P49" s="400">
        <f t="shared" si="2"/>
        <v>3251</v>
      </c>
      <c r="Q49" s="402">
        <f>SUM(Q47:Q48)</f>
        <v>2936</v>
      </c>
      <c r="R49" s="402">
        <f>SUM(R47:R48)</f>
        <v>0</v>
      </c>
      <c r="S49" s="402">
        <f>SUM(S47:S48)</f>
        <v>0</v>
      </c>
      <c r="T49" s="402">
        <f>SUM(T47:T48)</f>
        <v>315</v>
      </c>
      <c r="U49" s="400">
        <f t="shared" si="3"/>
        <v>-121</v>
      </c>
      <c r="V49" s="402">
        <f>SUM(V47:V48)</f>
        <v>-155</v>
      </c>
      <c r="W49" s="402">
        <f>SUM(W47:W48)</f>
        <v>0</v>
      </c>
      <c r="X49" s="402">
        <f>SUM(X47:X48)</f>
        <v>0</v>
      </c>
      <c r="Y49" s="401">
        <f>SUM(Y47:Y48)</f>
        <v>34</v>
      </c>
      <c r="Z49" s="581">
        <f t="shared" si="5"/>
        <v>96.411625148279953</v>
      </c>
      <c r="AA49" s="582">
        <f t="shared" si="6"/>
        <v>94.985441604658689</v>
      </c>
      <c r="AB49" s="582" t="str">
        <f t="shared" si="7"/>
        <v xml:space="preserve"> </v>
      </c>
      <c r="AC49" s="582" t="str">
        <f t="shared" si="8"/>
        <v xml:space="preserve"> </v>
      </c>
      <c r="AD49" s="583">
        <f t="shared" si="9"/>
        <v>112.09964412811388</v>
      </c>
    </row>
    <row r="50" spans="2:30" ht="15" thickBot="1" x14ac:dyDescent="0.25">
      <c r="B50" s="339" t="s">
        <v>293</v>
      </c>
      <c r="C50" s="338" t="s">
        <v>502</v>
      </c>
      <c r="D50" s="394" t="s">
        <v>286</v>
      </c>
      <c r="E50" s="35" t="s">
        <v>292</v>
      </c>
      <c r="F50" s="404">
        <f t="shared" si="0"/>
        <v>54</v>
      </c>
      <c r="G50" s="403">
        <v>49</v>
      </c>
      <c r="H50" s="403">
        <v>0</v>
      </c>
      <c r="I50" s="403">
        <v>0</v>
      </c>
      <c r="J50" s="403">
        <v>5</v>
      </c>
      <c r="K50" s="30">
        <f t="shared" si="1"/>
        <v>54</v>
      </c>
      <c r="L50" s="27">
        <v>49</v>
      </c>
      <c r="M50" s="27">
        <v>0</v>
      </c>
      <c r="N50" s="27">
        <v>0</v>
      </c>
      <c r="O50" s="27">
        <v>5</v>
      </c>
      <c r="P50" s="30">
        <f t="shared" si="2"/>
        <v>52</v>
      </c>
      <c r="Q50" s="27">
        <v>47</v>
      </c>
      <c r="R50" s="27">
        <v>0</v>
      </c>
      <c r="S50" s="27">
        <v>0</v>
      </c>
      <c r="T50" s="27">
        <v>5</v>
      </c>
      <c r="U50" s="30">
        <f t="shared" si="3"/>
        <v>-2</v>
      </c>
      <c r="V50" s="27">
        <v>-2</v>
      </c>
      <c r="W50" s="27">
        <v>0</v>
      </c>
      <c r="X50" s="27">
        <v>0</v>
      </c>
      <c r="Y50" s="31">
        <v>0</v>
      </c>
      <c r="Z50" s="559">
        <f t="shared" si="5"/>
        <v>96.296296296296291</v>
      </c>
      <c r="AA50" s="577">
        <f t="shared" si="6"/>
        <v>95.918367346938766</v>
      </c>
      <c r="AB50" s="577" t="str">
        <f t="shared" si="7"/>
        <v xml:space="preserve"> </v>
      </c>
      <c r="AC50" s="577" t="str">
        <f t="shared" si="8"/>
        <v xml:space="preserve"> </v>
      </c>
      <c r="AD50" s="562">
        <f t="shared" si="9"/>
        <v>100</v>
      </c>
    </row>
    <row r="51" spans="2:30" ht="15.75" thickBot="1" x14ac:dyDescent="0.25">
      <c r="B51" s="336" t="s">
        <v>293</v>
      </c>
      <c r="C51" s="335"/>
      <c r="D51" s="393" t="s">
        <v>286</v>
      </c>
      <c r="E51" s="333" t="s">
        <v>292</v>
      </c>
      <c r="F51" s="400">
        <f t="shared" si="0"/>
        <v>54</v>
      </c>
      <c r="G51" s="402">
        <f>G50</f>
        <v>49</v>
      </c>
      <c r="H51" s="402">
        <f>H50</f>
        <v>0</v>
      </c>
      <c r="I51" s="402">
        <f>I50</f>
        <v>0</v>
      </c>
      <c r="J51" s="402">
        <f>J50</f>
        <v>5</v>
      </c>
      <c r="K51" s="400">
        <f t="shared" si="1"/>
        <v>54</v>
      </c>
      <c r="L51" s="402">
        <f>L50</f>
        <v>49</v>
      </c>
      <c r="M51" s="402">
        <f>M50</f>
        <v>0</v>
      </c>
      <c r="N51" s="402">
        <f>N50</f>
        <v>0</v>
      </c>
      <c r="O51" s="402">
        <f>O50</f>
        <v>5</v>
      </c>
      <c r="P51" s="400">
        <f t="shared" si="2"/>
        <v>52</v>
      </c>
      <c r="Q51" s="402">
        <f>Q50</f>
        <v>47</v>
      </c>
      <c r="R51" s="402">
        <f>R50</f>
        <v>0</v>
      </c>
      <c r="S51" s="402">
        <f>S50</f>
        <v>0</v>
      </c>
      <c r="T51" s="402">
        <f>T50</f>
        <v>5</v>
      </c>
      <c r="U51" s="400">
        <f t="shared" si="3"/>
        <v>-2</v>
      </c>
      <c r="V51" s="402">
        <f>V50</f>
        <v>-2</v>
      </c>
      <c r="W51" s="402">
        <f>W50</f>
        <v>0</v>
      </c>
      <c r="X51" s="402">
        <f>X50</f>
        <v>0</v>
      </c>
      <c r="Y51" s="401">
        <f>Y50</f>
        <v>0</v>
      </c>
      <c r="Z51" s="581">
        <f t="shared" si="5"/>
        <v>96.296296296296291</v>
      </c>
      <c r="AA51" s="582">
        <f t="shared" si="6"/>
        <v>95.918367346938766</v>
      </c>
      <c r="AB51" s="582" t="str">
        <f t="shared" si="7"/>
        <v xml:space="preserve"> </v>
      </c>
      <c r="AC51" s="582" t="str">
        <f t="shared" si="8"/>
        <v xml:space="preserve"> </v>
      </c>
      <c r="AD51" s="583">
        <f t="shared" si="9"/>
        <v>100</v>
      </c>
    </row>
    <row r="52" spans="2:30" ht="15" thickBot="1" x14ac:dyDescent="0.25">
      <c r="B52" s="339" t="s">
        <v>291</v>
      </c>
      <c r="C52" s="338" t="s">
        <v>500</v>
      </c>
      <c r="D52" s="394" t="s">
        <v>286</v>
      </c>
      <c r="E52" s="35" t="s">
        <v>290</v>
      </c>
      <c r="F52" s="404">
        <f t="shared" si="0"/>
        <v>1520</v>
      </c>
      <c r="G52" s="403">
        <v>1240</v>
      </c>
      <c r="H52" s="403">
        <v>0</v>
      </c>
      <c r="I52" s="403">
        <v>0</v>
      </c>
      <c r="J52" s="403">
        <v>280</v>
      </c>
      <c r="K52" s="30">
        <f t="shared" si="1"/>
        <v>1520</v>
      </c>
      <c r="L52" s="27">
        <v>1240</v>
      </c>
      <c r="M52" s="27">
        <v>0</v>
      </c>
      <c r="N52" s="27">
        <v>0</v>
      </c>
      <c r="O52" s="27">
        <v>280</v>
      </c>
      <c r="P52" s="30">
        <f t="shared" si="2"/>
        <v>1458</v>
      </c>
      <c r="Q52" s="27">
        <v>1178</v>
      </c>
      <c r="R52" s="27">
        <v>0</v>
      </c>
      <c r="S52" s="27">
        <v>0</v>
      </c>
      <c r="T52" s="27">
        <v>280</v>
      </c>
      <c r="U52" s="30">
        <f t="shared" si="3"/>
        <v>-62</v>
      </c>
      <c r="V52" s="27">
        <v>-62</v>
      </c>
      <c r="W52" s="27">
        <v>0</v>
      </c>
      <c r="X52" s="27">
        <v>0</v>
      </c>
      <c r="Y52" s="31">
        <v>0</v>
      </c>
      <c r="Z52" s="559">
        <f t="shared" si="5"/>
        <v>95.921052631578945</v>
      </c>
      <c r="AA52" s="577">
        <f t="shared" si="6"/>
        <v>95</v>
      </c>
      <c r="AB52" s="577" t="str">
        <f t="shared" si="7"/>
        <v xml:space="preserve"> </v>
      </c>
      <c r="AC52" s="577" t="str">
        <f t="shared" si="8"/>
        <v xml:space="preserve"> </v>
      </c>
      <c r="AD52" s="562">
        <f t="shared" si="9"/>
        <v>100</v>
      </c>
    </row>
    <row r="53" spans="2:30" ht="15.75" thickBot="1" x14ac:dyDescent="0.25">
      <c r="B53" s="336" t="s">
        <v>291</v>
      </c>
      <c r="C53" s="335"/>
      <c r="D53" s="393" t="s">
        <v>286</v>
      </c>
      <c r="E53" s="333" t="s">
        <v>290</v>
      </c>
      <c r="F53" s="400">
        <f t="shared" si="0"/>
        <v>1520</v>
      </c>
      <c r="G53" s="402">
        <f>G52</f>
        <v>1240</v>
      </c>
      <c r="H53" s="402">
        <f>H52</f>
        <v>0</v>
      </c>
      <c r="I53" s="402">
        <f>I52</f>
        <v>0</v>
      </c>
      <c r="J53" s="402">
        <f>J52</f>
        <v>280</v>
      </c>
      <c r="K53" s="400">
        <f t="shared" si="1"/>
        <v>1520</v>
      </c>
      <c r="L53" s="402">
        <f>L52</f>
        <v>1240</v>
      </c>
      <c r="M53" s="402">
        <f>M52</f>
        <v>0</v>
      </c>
      <c r="N53" s="402">
        <f>N52</f>
        <v>0</v>
      </c>
      <c r="O53" s="402">
        <f>O52</f>
        <v>280</v>
      </c>
      <c r="P53" s="400">
        <f t="shared" si="2"/>
        <v>1458</v>
      </c>
      <c r="Q53" s="402">
        <f>Q52</f>
        <v>1178</v>
      </c>
      <c r="R53" s="402">
        <f>R52</f>
        <v>0</v>
      </c>
      <c r="S53" s="402">
        <f>S52</f>
        <v>0</v>
      </c>
      <c r="T53" s="402">
        <f>T52</f>
        <v>280</v>
      </c>
      <c r="U53" s="400">
        <f t="shared" si="3"/>
        <v>-62</v>
      </c>
      <c r="V53" s="402">
        <f>V52</f>
        <v>-62</v>
      </c>
      <c r="W53" s="402">
        <f>W52</f>
        <v>0</v>
      </c>
      <c r="X53" s="402">
        <f>X52</f>
        <v>0</v>
      </c>
      <c r="Y53" s="401">
        <f>Y52</f>
        <v>0</v>
      </c>
      <c r="Z53" s="581">
        <f t="shared" si="5"/>
        <v>95.921052631578945</v>
      </c>
      <c r="AA53" s="582">
        <f t="shared" si="6"/>
        <v>95</v>
      </c>
      <c r="AB53" s="582" t="str">
        <f t="shared" si="7"/>
        <v xml:space="preserve"> </v>
      </c>
      <c r="AC53" s="582" t="str">
        <f t="shared" si="8"/>
        <v xml:space="preserve"> </v>
      </c>
      <c r="AD53" s="583">
        <f t="shared" si="9"/>
        <v>100</v>
      </c>
    </row>
    <row r="54" spans="2:30" ht="15" thickBot="1" x14ac:dyDescent="0.25">
      <c r="B54" s="339" t="s">
        <v>289</v>
      </c>
      <c r="C54" s="338" t="s">
        <v>500</v>
      </c>
      <c r="D54" s="394" t="s">
        <v>286</v>
      </c>
      <c r="E54" s="35" t="s">
        <v>288</v>
      </c>
      <c r="F54" s="404">
        <f t="shared" si="0"/>
        <v>1715</v>
      </c>
      <c r="G54" s="403">
        <v>1666</v>
      </c>
      <c r="H54" s="403">
        <v>0</v>
      </c>
      <c r="I54" s="403">
        <v>0</v>
      </c>
      <c r="J54" s="403">
        <v>49</v>
      </c>
      <c r="K54" s="30">
        <f t="shared" si="1"/>
        <v>1715</v>
      </c>
      <c r="L54" s="27">
        <v>1666</v>
      </c>
      <c r="M54" s="27">
        <v>0</v>
      </c>
      <c r="N54" s="27">
        <v>0</v>
      </c>
      <c r="O54" s="27">
        <v>49</v>
      </c>
      <c r="P54" s="30">
        <f t="shared" si="2"/>
        <v>1627</v>
      </c>
      <c r="Q54" s="27">
        <v>1583</v>
      </c>
      <c r="R54" s="27">
        <v>0</v>
      </c>
      <c r="S54" s="27">
        <v>0</v>
      </c>
      <c r="T54" s="27">
        <v>44</v>
      </c>
      <c r="U54" s="30">
        <f t="shared" si="3"/>
        <v>-88</v>
      </c>
      <c r="V54" s="27">
        <v>-83</v>
      </c>
      <c r="W54" s="27">
        <v>0</v>
      </c>
      <c r="X54" s="27">
        <v>0</v>
      </c>
      <c r="Y54" s="31">
        <v>-5</v>
      </c>
      <c r="Z54" s="559">
        <f t="shared" si="5"/>
        <v>94.868804664723029</v>
      </c>
      <c r="AA54" s="577">
        <f t="shared" si="6"/>
        <v>95.018007202881151</v>
      </c>
      <c r="AB54" s="577" t="str">
        <f t="shared" si="7"/>
        <v xml:space="preserve"> </v>
      </c>
      <c r="AC54" s="577" t="str">
        <f t="shared" si="8"/>
        <v xml:space="preserve"> </v>
      </c>
      <c r="AD54" s="562">
        <f t="shared" si="9"/>
        <v>89.795918367346943</v>
      </c>
    </row>
    <row r="55" spans="2:30" ht="15.75" thickBot="1" x14ac:dyDescent="0.25">
      <c r="B55" s="336" t="s">
        <v>289</v>
      </c>
      <c r="C55" s="335"/>
      <c r="D55" s="393" t="s">
        <v>286</v>
      </c>
      <c r="E55" s="333" t="s">
        <v>288</v>
      </c>
      <c r="F55" s="400">
        <f t="shared" si="0"/>
        <v>1715</v>
      </c>
      <c r="G55" s="402">
        <f>G54</f>
        <v>1666</v>
      </c>
      <c r="H55" s="402">
        <f>H54</f>
        <v>0</v>
      </c>
      <c r="I55" s="402">
        <f>I54</f>
        <v>0</v>
      </c>
      <c r="J55" s="402">
        <f>J54</f>
        <v>49</v>
      </c>
      <c r="K55" s="400">
        <f t="shared" si="1"/>
        <v>1715</v>
      </c>
      <c r="L55" s="402">
        <f>L54</f>
        <v>1666</v>
      </c>
      <c r="M55" s="402">
        <f>M54</f>
        <v>0</v>
      </c>
      <c r="N55" s="402">
        <f>N54</f>
        <v>0</v>
      </c>
      <c r="O55" s="402">
        <f>O54</f>
        <v>49</v>
      </c>
      <c r="P55" s="400">
        <f t="shared" si="2"/>
        <v>1627</v>
      </c>
      <c r="Q55" s="402">
        <f>Q54</f>
        <v>1583</v>
      </c>
      <c r="R55" s="402">
        <f>R54</f>
        <v>0</v>
      </c>
      <c r="S55" s="402">
        <f>S54</f>
        <v>0</v>
      </c>
      <c r="T55" s="402">
        <f>T54</f>
        <v>44</v>
      </c>
      <c r="U55" s="400">
        <f t="shared" si="3"/>
        <v>-88</v>
      </c>
      <c r="V55" s="402">
        <f>V54</f>
        <v>-83</v>
      </c>
      <c r="W55" s="402">
        <f>W54</f>
        <v>0</v>
      </c>
      <c r="X55" s="402">
        <f>X54</f>
        <v>0</v>
      </c>
      <c r="Y55" s="401">
        <f>Y54</f>
        <v>-5</v>
      </c>
      <c r="Z55" s="581">
        <f t="shared" si="5"/>
        <v>94.868804664723029</v>
      </c>
      <c r="AA55" s="582">
        <f t="shared" si="6"/>
        <v>95.018007202881151</v>
      </c>
      <c r="AB55" s="582" t="str">
        <f t="shared" si="7"/>
        <v xml:space="preserve"> </v>
      </c>
      <c r="AC55" s="582" t="str">
        <f t="shared" si="8"/>
        <v xml:space="preserve"> </v>
      </c>
      <c r="AD55" s="583">
        <f t="shared" si="9"/>
        <v>89.795918367346943</v>
      </c>
    </row>
    <row r="56" spans="2:30" ht="26.25" thickBot="1" x14ac:dyDescent="0.25">
      <c r="B56" s="339" t="s">
        <v>287</v>
      </c>
      <c r="C56" s="338" t="s">
        <v>525</v>
      </c>
      <c r="D56" s="394" t="s">
        <v>286</v>
      </c>
      <c r="E56" s="35" t="s">
        <v>524</v>
      </c>
      <c r="F56" s="404">
        <f t="shared" si="0"/>
        <v>1871</v>
      </c>
      <c r="G56" s="403">
        <v>1100</v>
      </c>
      <c r="H56" s="403">
        <v>0</v>
      </c>
      <c r="I56" s="403">
        <v>0</v>
      </c>
      <c r="J56" s="403">
        <v>771</v>
      </c>
      <c r="K56" s="30">
        <f t="shared" si="1"/>
        <v>1871</v>
      </c>
      <c r="L56" s="27">
        <v>1100</v>
      </c>
      <c r="M56" s="27">
        <v>0</v>
      </c>
      <c r="N56" s="27">
        <v>0</v>
      </c>
      <c r="O56" s="27">
        <v>771</v>
      </c>
      <c r="P56" s="30">
        <f t="shared" si="2"/>
        <v>1788</v>
      </c>
      <c r="Q56" s="27">
        <v>1045</v>
      </c>
      <c r="R56" s="27">
        <v>0</v>
      </c>
      <c r="S56" s="27">
        <v>0</v>
      </c>
      <c r="T56" s="27">
        <v>743</v>
      </c>
      <c r="U56" s="30">
        <f t="shared" si="3"/>
        <v>-83</v>
      </c>
      <c r="V56" s="27">
        <v>-55</v>
      </c>
      <c r="W56" s="27">
        <v>0</v>
      </c>
      <c r="X56" s="27">
        <v>0</v>
      </c>
      <c r="Y56" s="31">
        <v>-28</v>
      </c>
      <c r="Z56" s="559">
        <f t="shared" si="5"/>
        <v>95.563869588455375</v>
      </c>
      <c r="AA56" s="577">
        <f t="shared" si="6"/>
        <v>95</v>
      </c>
      <c r="AB56" s="577" t="str">
        <f t="shared" si="7"/>
        <v xml:space="preserve"> </v>
      </c>
      <c r="AC56" s="577" t="str">
        <f t="shared" si="8"/>
        <v xml:space="preserve"> </v>
      </c>
      <c r="AD56" s="562">
        <f t="shared" si="9"/>
        <v>96.36835278858625</v>
      </c>
    </row>
    <row r="57" spans="2:30" ht="26.25" thickBot="1" x14ac:dyDescent="0.25">
      <c r="B57" s="336" t="s">
        <v>287</v>
      </c>
      <c r="C57" s="335"/>
      <c r="D57" s="393" t="s">
        <v>286</v>
      </c>
      <c r="E57" s="333" t="s">
        <v>524</v>
      </c>
      <c r="F57" s="400">
        <f t="shared" si="0"/>
        <v>1871</v>
      </c>
      <c r="G57" s="402">
        <f>G56</f>
        <v>1100</v>
      </c>
      <c r="H57" s="402">
        <f>H56</f>
        <v>0</v>
      </c>
      <c r="I57" s="402">
        <f>I56</f>
        <v>0</v>
      </c>
      <c r="J57" s="402">
        <f>J56</f>
        <v>771</v>
      </c>
      <c r="K57" s="400">
        <f t="shared" si="1"/>
        <v>1871</v>
      </c>
      <c r="L57" s="402">
        <f>L56</f>
        <v>1100</v>
      </c>
      <c r="M57" s="402">
        <f>M56</f>
        <v>0</v>
      </c>
      <c r="N57" s="402">
        <f>N56</f>
        <v>0</v>
      </c>
      <c r="O57" s="402">
        <f>O56</f>
        <v>771</v>
      </c>
      <c r="P57" s="400">
        <f t="shared" si="2"/>
        <v>1788</v>
      </c>
      <c r="Q57" s="402">
        <f>Q56</f>
        <v>1045</v>
      </c>
      <c r="R57" s="402">
        <f>R56</f>
        <v>0</v>
      </c>
      <c r="S57" s="402">
        <f>S56</f>
        <v>0</v>
      </c>
      <c r="T57" s="402">
        <f>T56</f>
        <v>743</v>
      </c>
      <c r="U57" s="400">
        <f t="shared" si="3"/>
        <v>-83</v>
      </c>
      <c r="V57" s="402">
        <f>V56</f>
        <v>-55</v>
      </c>
      <c r="W57" s="402">
        <f>W56</f>
        <v>0</v>
      </c>
      <c r="X57" s="402">
        <f>X56</f>
        <v>0</v>
      </c>
      <c r="Y57" s="401">
        <f>Y56</f>
        <v>-28</v>
      </c>
      <c r="Z57" s="581">
        <f t="shared" si="5"/>
        <v>95.563869588455375</v>
      </c>
      <c r="AA57" s="582">
        <f t="shared" si="6"/>
        <v>95</v>
      </c>
      <c r="AB57" s="582" t="str">
        <f t="shared" si="7"/>
        <v xml:space="preserve"> </v>
      </c>
      <c r="AC57" s="582" t="str">
        <f t="shared" si="8"/>
        <v xml:space="preserve"> </v>
      </c>
      <c r="AD57" s="583">
        <f t="shared" si="9"/>
        <v>96.36835278858625</v>
      </c>
    </row>
    <row r="58" spans="2:30" ht="15.75" thickBot="1" x14ac:dyDescent="0.25">
      <c r="B58" s="716" t="s">
        <v>624</v>
      </c>
      <c r="C58" s="717"/>
      <c r="D58" s="32"/>
      <c r="E58" s="392" t="s">
        <v>285</v>
      </c>
      <c r="F58" s="400">
        <f t="shared" ref="F58:Y58" si="10">F57+F55+F53+F51+F49+F46+F44+F42+F36+F32+F29+F27+F21</f>
        <v>44726</v>
      </c>
      <c r="G58" s="399">
        <f t="shared" si="10"/>
        <v>37323</v>
      </c>
      <c r="H58" s="399">
        <f t="shared" si="10"/>
        <v>0</v>
      </c>
      <c r="I58" s="399">
        <f t="shared" si="10"/>
        <v>0</v>
      </c>
      <c r="J58" s="399">
        <f t="shared" si="10"/>
        <v>7403</v>
      </c>
      <c r="K58" s="400">
        <f t="shared" si="10"/>
        <v>44726</v>
      </c>
      <c r="L58" s="399">
        <f t="shared" si="10"/>
        <v>37283</v>
      </c>
      <c r="M58" s="399">
        <f t="shared" si="10"/>
        <v>40</v>
      </c>
      <c r="N58" s="399">
        <f t="shared" si="10"/>
        <v>0</v>
      </c>
      <c r="O58" s="399">
        <f t="shared" si="10"/>
        <v>7403</v>
      </c>
      <c r="P58" s="400">
        <f t="shared" si="10"/>
        <v>42493</v>
      </c>
      <c r="Q58" s="399">
        <f t="shared" si="10"/>
        <v>35356</v>
      </c>
      <c r="R58" s="399">
        <f t="shared" si="10"/>
        <v>0</v>
      </c>
      <c r="S58" s="399">
        <f t="shared" si="10"/>
        <v>0</v>
      </c>
      <c r="T58" s="399">
        <f t="shared" si="10"/>
        <v>7137</v>
      </c>
      <c r="U58" s="400">
        <f t="shared" si="10"/>
        <v>-2233</v>
      </c>
      <c r="V58" s="399">
        <f t="shared" si="10"/>
        <v>-1967</v>
      </c>
      <c r="W58" s="399">
        <f t="shared" si="10"/>
        <v>0</v>
      </c>
      <c r="X58" s="399">
        <f t="shared" si="10"/>
        <v>0</v>
      </c>
      <c r="Y58" s="398">
        <f t="shared" si="10"/>
        <v>-266</v>
      </c>
      <c r="Z58" s="581">
        <f t="shared" si="5"/>
        <v>95.007378258730938</v>
      </c>
      <c r="AA58" s="584">
        <f t="shared" si="6"/>
        <v>94.729791281515418</v>
      </c>
      <c r="AB58" s="584" t="str">
        <f t="shared" si="7"/>
        <v xml:space="preserve"> </v>
      </c>
      <c r="AC58" s="584" t="str">
        <f t="shared" si="8"/>
        <v xml:space="preserve"> </v>
      </c>
      <c r="AD58" s="585">
        <f t="shared" si="9"/>
        <v>96.406862082939355</v>
      </c>
    </row>
  </sheetData>
  <mergeCells count="12">
    <mergeCell ref="Z10:AD10"/>
    <mergeCell ref="AA14:AD14"/>
    <mergeCell ref="B58:C58"/>
    <mergeCell ref="F10:J10"/>
    <mergeCell ref="K10:O10"/>
    <mergeCell ref="P10:T10"/>
    <mergeCell ref="U10:Y10"/>
    <mergeCell ref="B11:C11"/>
    <mergeCell ref="G14:J14"/>
    <mergeCell ref="L14:O14"/>
    <mergeCell ref="Q14:T14"/>
    <mergeCell ref="V14:Y14"/>
  </mergeCells>
  <pageMargins left="0.70866141732283472" right="0.70866141732283472" top="0.78740157480314965" bottom="0.78740157480314965" header="0.31496062992125984" footer="0.31496062992125984"/>
  <pageSetup paperSize="9" scale="4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B2:AD51"/>
  <sheetViews>
    <sheetView showGridLines="0" zoomScaleNormal="100" workbookViewId="0">
      <selection activeCell="AC29" sqref="AC29"/>
    </sheetView>
  </sheetViews>
  <sheetFormatPr defaultRowHeight="12.75" x14ac:dyDescent="0.2"/>
  <cols>
    <col min="1" max="1" width="2.7109375" customWidth="1"/>
    <col min="2" max="2" width="14.7109375" customWidth="1"/>
    <col min="3" max="3" width="6.7109375" customWidth="1"/>
    <col min="4" max="4" width="10.7109375" customWidth="1"/>
    <col min="5" max="5" width="45.7109375" customWidth="1"/>
    <col min="6" max="6" width="12.7109375" style="1" customWidth="1"/>
    <col min="7" max="10" width="9.7109375" style="1" customWidth="1"/>
    <col min="11" max="11" width="12.7109375" style="1" customWidth="1"/>
    <col min="12" max="15" width="9.7109375" style="1" customWidth="1"/>
    <col min="16" max="16" width="12.7109375" style="1" customWidth="1"/>
    <col min="17" max="20" width="9.7109375" style="1" customWidth="1"/>
    <col min="21" max="21" width="12.7109375" style="1" hidden="1" customWidth="1"/>
    <col min="22" max="25" width="9.7109375" style="1" hidden="1" customWidth="1"/>
    <col min="26" max="26" width="12.7109375" style="1" customWidth="1"/>
    <col min="27" max="27" width="9.7109375" style="1" customWidth="1"/>
    <col min="28" max="28" width="8.85546875" style="1" customWidth="1"/>
    <col min="29" max="29" width="8.28515625" style="1" customWidth="1"/>
    <col min="30" max="30" width="9.7109375" style="1" customWidth="1"/>
  </cols>
  <sheetData>
    <row r="2" spans="2:30" ht="21.75" x14ac:dyDescent="0.3">
      <c r="B2" s="2" t="s">
        <v>177</v>
      </c>
      <c r="C2" s="3"/>
      <c r="D2" s="3"/>
      <c r="E2" s="3"/>
      <c r="F2" s="4"/>
      <c r="G2" s="4"/>
      <c r="H2" s="4"/>
      <c r="I2" s="4"/>
      <c r="J2" s="4"/>
      <c r="K2" s="5"/>
      <c r="L2" s="5"/>
      <c r="M2" s="5"/>
      <c r="N2" s="5"/>
      <c r="O2" s="5"/>
      <c r="P2" s="5"/>
      <c r="Q2" s="5"/>
      <c r="R2" s="5"/>
      <c r="S2" s="5"/>
      <c r="T2" s="5"/>
      <c r="U2" s="5"/>
      <c r="V2" s="5"/>
      <c r="W2" s="6" t="s">
        <v>333</v>
      </c>
      <c r="X2" s="5"/>
      <c r="Y2" s="5" t="s">
        <v>211</v>
      </c>
      <c r="Z2" s="5"/>
      <c r="AA2" s="5"/>
      <c r="AB2" s="6" t="s">
        <v>333</v>
      </c>
      <c r="AC2" s="5"/>
      <c r="AD2" s="5" t="s">
        <v>211</v>
      </c>
    </row>
    <row r="3" spans="2:30" ht="15.75" x14ac:dyDescent="0.25">
      <c r="B3" s="7" t="s">
        <v>2</v>
      </c>
      <c r="C3" s="7" t="s">
        <v>283</v>
      </c>
      <c r="D3" s="8"/>
      <c r="E3" s="9"/>
      <c r="F3" s="10"/>
      <c r="G3" s="10"/>
      <c r="H3" s="10"/>
      <c r="I3" s="10"/>
      <c r="J3" s="10"/>
      <c r="K3" s="11"/>
      <c r="L3" s="11"/>
      <c r="M3" s="11"/>
      <c r="N3" s="11"/>
      <c r="O3" s="11"/>
      <c r="P3" s="11"/>
      <c r="Q3" s="11"/>
      <c r="R3" s="11"/>
      <c r="S3" s="11"/>
      <c r="T3" s="11"/>
      <c r="U3" s="11"/>
      <c r="V3" s="11"/>
      <c r="W3" s="11"/>
      <c r="X3" s="11"/>
      <c r="Y3" s="11"/>
      <c r="Z3" s="11"/>
      <c r="AA3" s="11"/>
      <c r="AB3" s="11"/>
      <c r="AC3" s="11"/>
      <c r="AD3" s="11"/>
    </row>
    <row r="4" spans="2:30" ht="15.75" x14ac:dyDescent="0.25">
      <c r="B4" s="8"/>
      <c r="C4" s="7" t="s">
        <v>4</v>
      </c>
      <c r="D4" s="8"/>
      <c r="E4" s="9"/>
      <c r="F4" s="10"/>
      <c r="G4" s="10"/>
      <c r="H4" s="10"/>
      <c r="I4" s="10"/>
      <c r="J4" s="10"/>
      <c r="K4" s="11"/>
      <c r="L4" s="11"/>
      <c r="M4" s="11"/>
      <c r="N4" s="11"/>
      <c r="O4" s="11"/>
      <c r="P4" s="11"/>
      <c r="Q4" s="11"/>
      <c r="R4" s="11"/>
      <c r="S4" s="11"/>
      <c r="T4" s="11"/>
      <c r="U4" s="11"/>
      <c r="V4" s="11"/>
      <c r="W4" s="11"/>
      <c r="X4" s="11"/>
      <c r="Y4" s="11"/>
      <c r="Z4" s="11"/>
      <c r="AA4" s="11"/>
      <c r="AB4" s="11"/>
      <c r="AC4" s="11"/>
      <c r="AD4" s="11"/>
    </row>
    <row r="6" spans="2:30" ht="18" x14ac:dyDescent="0.25">
      <c r="B6" s="396" t="s">
        <v>332</v>
      </c>
      <c r="C6" s="12"/>
      <c r="D6" s="12"/>
      <c r="E6" s="12"/>
      <c r="F6" s="13"/>
      <c r="G6" s="13"/>
      <c r="H6" s="13"/>
      <c r="I6" s="13"/>
      <c r="J6" s="13"/>
      <c r="K6" s="13"/>
      <c r="L6" s="13"/>
      <c r="M6" s="13"/>
      <c r="N6" s="13"/>
      <c r="O6" s="13"/>
      <c r="P6" s="13"/>
      <c r="Q6" s="13"/>
      <c r="R6" s="13"/>
      <c r="S6" s="13"/>
      <c r="T6" s="13"/>
      <c r="U6" s="13"/>
      <c r="V6" s="13"/>
      <c r="W6" s="13"/>
      <c r="X6" s="13"/>
      <c r="Y6" s="13"/>
      <c r="Z6" s="13"/>
      <c r="AA6" s="13"/>
      <c r="AB6" s="13"/>
      <c r="AC6" s="13"/>
      <c r="AD6" s="13"/>
    </row>
    <row r="8" spans="2:30" ht="13.5" thickBot="1" x14ac:dyDescent="0.25">
      <c r="B8" s="201"/>
      <c r="C8" s="201"/>
      <c r="D8" s="201"/>
      <c r="E8" s="201"/>
      <c r="F8" s="200"/>
      <c r="G8" s="200"/>
      <c r="H8" s="200"/>
      <c r="I8" s="200"/>
      <c r="J8" s="200"/>
      <c r="K8" s="200"/>
      <c r="L8" s="200"/>
      <c r="M8" s="200"/>
      <c r="N8" s="200"/>
      <c r="O8" s="200"/>
      <c r="P8" s="200"/>
      <c r="Q8" s="200"/>
      <c r="R8" s="200"/>
      <c r="S8" s="200"/>
      <c r="T8" s="200"/>
      <c r="U8" s="200"/>
      <c r="V8" s="200"/>
      <c r="W8" s="200"/>
      <c r="X8" s="200"/>
      <c r="Y8" s="200" t="s">
        <v>5</v>
      </c>
      <c r="Z8" s="200"/>
      <c r="AA8" s="200"/>
      <c r="AB8" s="200"/>
      <c r="AC8" s="200"/>
      <c r="AD8" s="200" t="s">
        <v>5</v>
      </c>
    </row>
    <row r="9" spans="2:30" x14ac:dyDescent="0.2">
      <c r="B9" s="477"/>
      <c r="C9" s="483"/>
      <c r="D9" s="477"/>
      <c r="E9" s="477"/>
      <c r="F9" s="710" t="s">
        <v>548</v>
      </c>
      <c r="G9" s="711"/>
      <c r="H9" s="711"/>
      <c r="I9" s="711"/>
      <c r="J9" s="712"/>
      <c r="K9" s="710" t="s">
        <v>561</v>
      </c>
      <c r="L9" s="711"/>
      <c r="M9" s="711"/>
      <c r="N9" s="711"/>
      <c r="O9" s="712"/>
      <c r="P9" s="710" t="s">
        <v>558</v>
      </c>
      <c r="Q9" s="711"/>
      <c r="R9" s="711"/>
      <c r="S9" s="711"/>
      <c r="T9" s="712"/>
      <c r="U9" s="710" t="s">
        <v>6</v>
      </c>
      <c r="V9" s="711"/>
      <c r="W9" s="711"/>
      <c r="X9" s="711"/>
      <c r="Y9" s="712"/>
      <c r="Z9" s="710" t="s">
        <v>638</v>
      </c>
      <c r="AA9" s="711"/>
      <c r="AB9" s="711"/>
      <c r="AC9" s="711"/>
      <c r="AD9" s="712"/>
    </row>
    <row r="10" spans="2:30" ht="18" customHeight="1" x14ac:dyDescent="0.2">
      <c r="B10" s="718" t="s">
        <v>7</v>
      </c>
      <c r="C10" s="719"/>
      <c r="D10" s="484" t="s">
        <v>8</v>
      </c>
      <c r="E10" s="485" t="s">
        <v>9</v>
      </c>
      <c r="F10" s="486"/>
      <c r="G10" s="487" t="s">
        <v>10</v>
      </c>
      <c r="H10" s="486"/>
      <c r="I10" s="486"/>
      <c r="J10" s="486"/>
      <c r="K10" s="488"/>
      <c r="L10" s="487" t="s">
        <v>10</v>
      </c>
      <c r="M10" s="486"/>
      <c r="N10" s="486"/>
      <c r="O10" s="486"/>
      <c r="P10" s="488"/>
      <c r="Q10" s="487" t="s">
        <v>10</v>
      </c>
      <c r="R10" s="486"/>
      <c r="S10" s="486"/>
      <c r="T10" s="486"/>
      <c r="U10" s="488"/>
      <c r="V10" s="487" t="s">
        <v>10</v>
      </c>
      <c r="W10" s="489"/>
      <c r="X10" s="489"/>
      <c r="Y10" s="490"/>
      <c r="Z10" s="488"/>
      <c r="AA10" s="487" t="s">
        <v>10</v>
      </c>
      <c r="AB10" s="489"/>
      <c r="AC10" s="489"/>
      <c r="AD10" s="490"/>
    </row>
    <row r="11" spans="2:30" ht="48" customHeight="1" x14ac:dyDescent="0.2">
      <c r="B11" s="491"/>
      <c r="C11" s="492"/>
      <c r="D11" s="491"/>
      <c r="E11" s="491"/>
      <c r="F11" s="493" t="s">
        <v>11</v>
      </c>
      <c r="G11" s="494" t="s">
        <v>12</v>
      </c>
      <c r="H11" s="494" t="s">
        <v>13</v>
      </c>
      <c r="I11" s="494" t="s">
        <v>14</v>
      </c>
      <c r="J11" s="494" t="s">
        <v>15</v>
      </c>
      <c r="K11" s="493" t="s">
        <v>11</v>
      </c>
      <c r="L11" s="494" t="s">
        <v>12</v>
      </c>
      <c r="M11" s="494" t="s">
        <v>13</v>
      </c>
      <c r="N11" s="494" t="s">
        <v>14</v>
      </c>
      <c r="O11" s="494" t="s">
        <v>15</v>
      </c>
      <c r="P11" s="493" t="s">
        <v>11</v>
      </c>
      <c r="Q11" s="494" t="s">
        <v>12</v>
      </c>
      <c r="R11" s="494" t="s">
        <v>13</v>
      </c>
      <c r="S11" s="494" t="s">
        <v>14</v>
      </c>
      <c r="T11" s="494" t="s">
        <v>15</v>
      </c>
      <c r="U11" s="493" t="s">
        <v>11</v>
      </c>
      <c r="V11" s="494" t="s">
        <v>12</v>
      </c>
      <c r="W11" s="494" t="s">
        <v>13</v>
      </c>
      <c r="X11" s="494" t="s">
        <v>14</v>
      </c>
      <c r="Y11" s="495" t="s">
        <v>15</v>
      </c>
      <c r="Z11" s="493" t="s">
        <v>11</v>
      </c>
      <c r="AA11" s="494" t="s">
        <v>12</v>
      </c>
      <c r="AB11" s="494" t="s">
        <v>13</v>
      </c>
      <c r="AC11" s="494" t="s">
        <v>14</v>
      </c>
      <c r="AD11" s="495" t="s">
        <v>15</v>
      </c>
    </row>
    <row r="12" spans="2:30" ht="13.5" thickBot="1" x14ac:dyDescent="0.25">
      <c r="B12" s="496" t="s">
        <v>16</v>
      </c>
      <c r="C12" s="497" t="s">
        <v>17</v>
      </c>
      <c r="D12" s="479"/>
      <c r="E12" s="479"/>
      <c r="F12" s="480"/>
      <c r="G12" s="481" t="s">
        <v>18</v>
      </c>
      <c r="H12" s="481" t="s">
        <v>19</v>
      </c>
      <c r="I12" s="481" t="s">
        <v>20</v>
      </c>
      <c r="J12" s="481" t="s">
        <v>21</v>
      </c>
      <c r="K12" s="480"/>
      <c r="L12" s="481" t="s">
        <v>18</v>
      </c>
      <c r="M12" s="481" t="s">
        <v>19</v>
      </c>
      <c r="N12" s="481" t="s">
        <v>20</v>
      </c>
      <c r="O12" s="481" t="s">
        <v>21</v>
      </c>
      <c r="P12" s="480"/>
      <c r="Q12" s="481" t="s">
        <v>18</v>
      </c>
      <c r="R12" s="481" t="s">
        <v>19</v>
      </c>
      <c r="S12" s="481" t="s">
        <v>20</v>
      </c>
      <c r="T12" s="481" t="s">
        <v>21</v>
      </c>
      <c r="U12" s="480"/>
      <c r="V12" s="481" t="s">
        <v>18</v>
      </c>
      <c r="W12" s="481" t="s">
        <v>19</v>
      </c>
      <c r="X12" s="481" t="s">
        <v>20</v>
      </c>
      <c r="Y12" s="482" t="s">
        <v>21</v>
      </c>
      <c r="Z12" s="480"/>
      <c r="AA12" s="481" t="s">
        <v>18</v>
      </c>
      <c r="AB12" s="481" t="s">
        <v>19</v>
      </c>
      <c r="AC12" s="481" t="s">
        <v>20</v>
      </c>
      <c r="AD12" s="482" t="s">
        <v>21</v>
      </c>
    </row>
    <row r="13" spans="2:30" ht="13.5" thickBot="1" x14ac:dyDescent="0.25">
      <c r="B13" s="499"/>
      <c r="C13" s="500"/>
      <c r="D13" s="499"/>
      <c r="E13" s="499"/>
      <c r="F13" s="501" t="s">
        <v>22</v>
      </c>
      <c r="G13" s="713" t="s">
        <v>22</v>
      </c>
      <c r="H13" s="714"/>
      <c r="I13" s="714"/>
      <c r="J13" s="715"/>
      <c r="K13" s="501" t="s">
        <v>22</v>
      </c>
      <c r="L13" s="713" t="s">
        <v>22</v>
      </c>
      <c r="M13" s="714"/>
      <c r="N13" s="714"/>
      <c r="O13" s="715"/>
      <c r="P13" s="501" t="s">
        <v>22</v>
      </c>
      <c r="Q13" s="713" t="s">
        <v>22</v>
      </c>
      <c r="R13" s="714"/>
      <c r="S13" s="714"/>
      <c r="T13" s="715"/>
      <c r="U13" s="501" t="s">
        <v>22</v>
      </c>
      <c r="V13" s="713" t="s">
        <v>22</v>
      </c>
      <c r="W13" s="714"/>
      <c r="X13" s="714"/>
      <c r="Y13" s="715"/>
      <c r="Z13" s="501" t="s">
        <v>22</v>
      </c>
      <c r="AA13" s="713" t="s">
        <v>22</v>
      </c>
      <c r="AB13" s="714"/>
      <c r="AC13" s="714"/>
      <c r="AD13" s="715"/>
    </row>
    <row r="14" spans="2:30" ht="15" thickBot="1" x14ac:dyDescent="0.25">
      <c r="B14" s="339" t="s">
        <v>331</v>
      </c>
      <c r="C14" s="338" t="s">
        <v>516</v>
      </c>
      <c r="D14" s="394" t="s">
        <v>312</v>
      </c>
      <c r="E14" s="35" t="s">
        <v>534</v>
      </c>
      <c r="F14" s="30">
        <f t="shared" ref="F14:F50" si="0">SUM(G14:J14)</f>
        <v>533</v>
      </c>
      <c r="G14" s="27">
        <v>520</v>
      </c>
      <c r="H14" s="27">
        <v>0</v>
      </c>
      <c r="I14" s="27">
        <v>0</v>
      </c>
      <c r="J14" s="27">
        <v>13</v>
      </c>
      <c r="K14" s="30">
        <f t="shared" ref="K14:K50" si="1">SUM(L14:O14)</f>
        <v>533</v>
      </c>
      <c r="L14" s="27">
        <v>520</v>
      </c>
      <c r="M14" s="27">
        <v>0</v>
      </c>
      <c r="N14" s="27">
        <v>0</v>
      </c>
      <c r="O14" s="27">
        <v>13</v>
      </c>
      <c r="P14" s="30">
        <f t="shared" ref="P14:P50" si="2">SUM(Q14:T14)</f>
        <v>507</v>
      </c>
      <c r="Q14" s="27">
        <v>494</v>
      </c>
      <c r="R14" s="27">
        <v>0</v>
      </c>
      <c r="S14" s="27">
        <v>0</v>
      </c>
      <c r="T14" s="27">
        <v>13</v>
      </c>
      <c r="U14" s="30">
        <f t="shared" ref="U14:U50" si="3">SUM(V14:Y14)</f>
        <v>-26</v>
      </c>
      <c r="V14" s="27">
        <v>-26</v>
      </c>
      <c r="W14" s="27">
        <v>0</v>
      </c>
      <c r="X14" s="27">
        <v>0</v>
      </c>
      <c r="Y14" s="31">
        <v>0</v>
      </c>
      <c r="Z14" s="30">
        <f>IF(P14=0," ",IF(F14=0," ",P14/F14*100))</f>
        <v>95.121951219512198</v>
      </c>
      <c r="AA14" s="27">
        <f t="shared" ref="AA14:AD14" si="4">IF(Q14=0," ",IF(G14=0," ",Q14/G14*100))</f>
        <v>95</v>
      </c>
      <c r="AB14" s="27" t="str">
        <f t="shared" si="4"/>
        <v xml:space="preserve"> </v>
      </c>
      <c r="AC14" s="27" t="str">
        <f t="shared" si="4"/>
        <v xml:space="preserve"> </v>
      </c>
      <c r="AD14" s="31">
        <f t="shared" si="4"/>
        <v>100</v>
      </c>
    </row>
    <row r="15" spans="2:30" ht="26.25" thickBot="1" x14ac:dyDescent="0.25">
      <c r="B15" s="336" t="s">
        <v>331</v>
      </c>
      <c r="C15" s="335"/>
      <c r="D15" s="393" t="s">
        <v>312</v>
      </c>
      <c r="E15" s="333" t="s">
        <v>534</v>
      </c>
      <c r="F15" s="332">
        <f t="shared" si="0"/>
        <v>533</v>
      </c>
      <c r="G15" s="331">
        <f>G14</f>
        <v>520</v>
      </c>
      <c r="H15" s="331">
        <f>H14</f>
        <v>0</v>
      </c>
      <c r="I15" s="331">
        <f>I14</f>
        <v>0</v>
      </c>
      <c r="J15" s="331">
        <f>J14</f>
        <v>13</v>
      </c>
      <c r="K15" s="34">
        <f t="shared" si="1"/>
        <v>533</v>
      </c>
      <c r="L15" s="331">
        <f>L14</f>
        <v>520</v>
      </c>
      <c r="M15" s="331">
        <f>M14</f>
        <v>0</v>
      </c>
      <c r="N15" s="331">
        <f>N14</f>
        <v>0</v>
      </c>
      <c r="O15" s="331">
        <f>O14</f>
        <v>13</v>
      </c>
      <c r="P15" s="34">
        <f t="shared" si="2"/>
        <v>507</v>
      </c>
      <c r="Q15" s="331">
        <f>Q14</f>
        <v>494</v>
      </c>
      <c r="R15" s="331">
        <f>R14</f>
        <v>0</v>
      </c>
      <c r="S15" s="331">
        <f>S14</f>
        <v>0</v>
      </c>
      <c r="T15" s="331">
        <f>T14</f>
        <v>13</v>
      </c>
      <c r="U15" s="34">
        <f t="shared" si="3"/>
        <v>-26</v>
      </c>
      <c r="V15" s="331">
        <f>V14</f>
        <v>-26</v>
      </c>
      <c r="W15" s="331">
        <f>W14</f>
        <v>0</v>
      </c>
      <c r="X15" s="331">
        <f>X14</f>
        <v>0</v>
      </c>
      <c r="Y15" s="330">
        <f>Y14</f>
        <v>0</v>
      </c>
      <c r="Z15" s="34">
        <f t="shared" ref="Z15:Z51" si="5">IF(P15=0," ",IF(F15=0," ",P15/F15*100))</f>
        <v>95.121951219512198</v>
      </c>
      <c r="AA15" s="331">
        <f t="shared" ref="AA15:AA51" si="6">IF(Q15=0," ",IF(G15=0," ",Q15/G15*100))</f>
        <v>95</v>
      </c>
      <c r="AB15" s="331" t="str">
        <f t="shared" ref="AB15:AB51" si="7">IF(R15=0," ",IF(H15=0," ",R15/H15*100))</f>
        <v xml:space="preserve"> </v>
      </c>
      <c r="AC15" s="331" t="str">
        <f t="shared" ref="AC15:AC51" si="8">IF(S15=0," ",IF(I15=0," ",S15/I15*100))</f>
        <v xml:space="preserve"> </v>
      </c>
      <c r="AD15" s="330">
        <f t="shared" ref="AD15:AD51" si="9">IF(T15=0," ",IF(J15=0," ",T15/J15*100))</f>
        <v>100</v>
      </c>
    </row>
    <row r="16" spans="2:30" ht="15" thickBot="1" x14ac:dyDescent="0.25">
      <c r="B16" s="339" t="s">
        <v>330</v>
      </c>
      <c r="C16" s="338" t="s">
        <v>521</v>
      </c>
      <c r="D16" s="394" t="s">
        <v>312</v>
      </c>
      <c r="E16" s="35" t="s">
        <v>329</v>
      </c>
      <c r="F16" s="30">
        <f t="shared" si="0"/>
        <v>12</v>
      </c>
      <c r="G16" s="27">
        <v>12</v>
      </c>
      <c r="H16" s="27">
        <v>0</v>
      </c>
      <c r="I16" s="27">
        <v>0</v>
      </c>
      <c r="J16" s="27">
        <v>0</v>
      </c>
      <c r="K16" s="30">
        <f t="shared" si="1"/>
        <v>12</v>
      </c>
      <c r="L16" s="27">
        <v>12</v>
      </c>
      <c r="M16" s="27">
        <v>0</v>
      </c>
      <c r="N16" s="27">
        <v>0</v>
      </c>
      <c r="O16" s="27">
        <v>0</v>
      </c>
      <c r="P16" s="30">
        <f t="shared" si="2"/>
        <v>20</v>
      </c>
      <c r="Q16" s="27">
        <v>20</v>
      </c>
      <c r="R16" s="27">
        <v>0</v>
      </c>
      <c r="S16" s="27">
        <v>0</v>
      </c>
      <c r="T16" s="27">
        <v>0</v>
      </c>
      <c r="U16" s="30">
        <f t="shared" si="3"/>
        <v>8</v>
      </c>
      <c r="V16" s="27">
        <v>8</v>
      </c>
      <c r="W16" s="27">
        <v>0</v>
      </c>
      <c r="X16" s="27">
        <v>0</v>
      </c>
      <c r="Y16" s="31">
        <v>0</v>
      </c>
      <c r="Z16" s="30">
        <f t="shared" si="5"/>
        <v>166.66666666666669</v>
      </c>
      <c r="AA16" s="27">
        <f t="shared" si="6"/>
        <v>166.66666666666669</v>
      </c>
      <c r="AB16" s="27" t="str">
        <f t="shared" si="7"/>
        <v xml:space="preserve"> </v>
      </c>
      <c r="AC16" s="27" t="str">
        <f t="shared" si="8"/>
        <v xml:space="preserve"> </v>
      </c>
      <c r="AD16" s="31" t="str">
        <f t="shared" si="9"/>
        <v xml:space="preserve"> </v>
      </c>
    </row>
    <row r="17" spans="2:30" ht="15" thickBot="1" x14ac:dyDescent="0.25">
      <c r="B17" s="339" t="s">
        <v>330</v>
      </c>
      <c r="C17" s="338" t="s">
        <v>516</v>
      </c>
      <c r="D17" s="394" t="s">
        <v>312</v>
      </c>
      <c r="E17" s="35" t="s">
        <v>329</v>
      </c>
      <c r="F17" s="30">
        <f t="shared" si="0"/>
        <v>433</v>
      </c>
      <c r="G17" s="27">
        <v>433</v>
      </c>
      <c r="H17" s="27">
        <v>0</v>
      </c>
      <c r="I17" s="27">
        <v>0</v>
      </c>
      <c r="J17" s="27">
        <v>0</v>
      </c>
      <c r="K17" s="30">
        <f t="shared" si="1"/>
        <v>433</v>
      </c>
      <c r="L17" s="27">
        <v>433</v>
      </c>
      <c r="M17" s="27">
        <v>0</v>
      </c>
      <c r="N17" s="27">
        <v>0</v>
      </c>
      <c r="O17" s="27">
        <v>0</v>
      </c>
      <c r="P17" s="30">
        <f t="shared" si="2"/>
        <v>403</v>
      </c>
      <c r="Q17" s="27">
        <v>403</v>
      </c>
      <c r="R17" s="27">
        <v>0</v>
      </c>
      <c r="S17" s="27">
        <v>0</v>
      </c>
      <c r="T17" s="27">
        <v>0</v>
      </c>
      <c r="U17" s="30">
        <f t="shared" si="3"/>
        <v>-30</v>
      </c>
      <c r="V17" s="27">
        <v>-30</v>
      </c>
      <c r="W17" s="27">
        <v>0</v>
      </c>
      <c r="X17" s="27">
        <v>0</v>
      </c>
      <c r="Y17" s="31">
        <v>0</v>
      </c>
      <c r="Z17" s="30">
        <f t="shared" si="5"/>
        <v>93.071593533487302</v>
      </c>
      <c r="AA17" s="27">
        <f t="shared" si="6"/>
        <v>93.071593533487302</v>
      </c>
      <c r="AB17" s="27" t="str">
        <f t="shared" si="7"/>
        <v xml:space="preserve"> </v>
      </c>
      <c r="AC17" s="27" t="str">
        <f t="shared" si="8"/>
        <v xml:space="preserve"> </v>
      </c>
      <c r="AD17" s="31" t="str">
        <f t="shared" si="9"/>
        <v xml:space="preserve"> </v>
      </c>
    </row>
    <row r="18" spans="2:30" ht="15.75" thickBot="1" x14ac:dyDescent="0.25">
      <c r="B18" s="336" t="s">
        <v>330</v>
      </c>
      <c r="C18" s="335"/>
      <c r="D18" s="393" t="s">
        <v>312</v>
      </c>
      <c r="E18" s="333" t="s">
        <v>329</v>
      </c>
      <c r="F18" s="34">
        <f t="shared" si="0"/>
        <v>445</v>
      </c>
      <c r="G18" s="331">
        <f>SUM(G16:G17)</f>
        <v>445</v>
      </c>
      <c r="H18" s="331">
        <f>SUM(H16:H17)</f>
        <v>0</v>
      </c>
      <c r="I18" s="331">
        <f>SUM(I16:I17)</f>
        <v>0</v>
      </c>
      <c r="J18" s="331">
        <f>SUM(J16:J17)</f>
        <v>0</v>
      </c>
      <c r="K18" s="34">
        <f t="shared" si="1"/>
        <v>445</v>
      </c>
      <c r="L18" s="331">
        <f>SUM(L16:L17)</f>
        <v>445</v>
      </c>
      <c r="M18" s="331">
        <f>SUM(M16:M17)</f>
        <v>0</v>
      </c>
      <c r="N18" s="331">
        <f>SUM(N16:N17)</f>
        <v>0</v>
      </c>
      <c r="O18" s="331">
        <f>SUM(O16:O17)</f>
        <v>0</v>
      </c>
      <c r="P18" s="34">
        <f t="shared" si="2"/>
        <v>423</v>
      </c>
      <c r="Q18" s="331">
        <f>SUM(Q16:Q17)</f>
        <v>423</v>
      </c>
      <c r="R18" s="331">
        <f>SUM(R16:R17)</f>
        <v>0</v>
      </c>
      <c r="S18" s="331">
        <f>SUM(S16:S17)</f>
        <v>0</v>
      </c>
      <c r="T18" s="331">
        <f>SUM(T16:T17)</f>
        <v>0</v>
      </c>
      <c r="U18" s="34">
        <f t="shared" si="3"/>
        <v>-22</v>
      </c>
      <c r="V18" s="331">
        <f>SUM(V16:V17)</f>
        <v>-22</v>
      </c>
      <c r="W18" s="331">
        <f>SUM(W16:W17)</f>
        <v>0</v>
      </c>
      <c r="X18" s="331">
        <f>SUM(X16:X17)</f>
        <v>0</v>
      </c>
      <c r="Y18" s="330">
        <f>SUM(Y16:Y17)</f>
        <v>0</v>
      </c>
      <c r="Z18" s="34">
        <f t="shared" si="5"/>
        <v>95.056179775280896</v>
      </c>
      <c r="AA18" s="331">
        <f t="shared" si="6"/>
        <v>95.056179775280896</v>
      </c>
      <c r="AB18" s="331" t="str">
        <f t="shared" si="7"/>
        <v xml:space="preserve"> </v>
      </c>
      <c r="AC18" s="331" t="str">
        <f t="shared" si="8"/>
        <v xml:space="preserve"> </v>
      </c>
      <c r="AD18" s="330" t="str">
        <f t="shared" si="9"/>
        <v xml:space="preserve"> </v>
      </c>
    </row>
    <row r="19" spans="2:30" ht="15" thickBot="1" x14ac:dyDescent="0.25">
      <c r="B19" s="339" t="s">
        <v>328</v>
      </c>
      <c r="C19" s="338" t="s">
        <v>516</v>
      </c>
      <c r="D19" s="394" t="s">
        <v>312</v>
      </c>
      <c r="E19" s="35" t="s">
        <v>327</v>
      </c>
      <c r="F19" s="30">
        <f t="shared" si="0"/>
        <v>2342</v>
      </c>
      <c r="G19" s="27">
        <v>1990</v>
      </c>
      <c r="H19" s="27">
        <v>0</v>
      </c>
      <c r="I19" s="27">
        <v>0</v>
      </c>
      <c r="J19" s="27">
        <v>352</v>
      </c>
      <c r="K19" s="30">
        <f t="shared" si="1"/>
        <v>2342</v>
      </c>
      <c r="L19" s="27">
        <v>1990</v>
      </c>
      <c r="M19" s="27">
        <v>0</v>
      </c>
      <c r="N19" s="27">
        <v>0</v>
      </c>
      <c r="O19" s="27">
        <v>352</v>
      </c>
      <c r="P19" s="30">
        <f t="shared" si="2"/>
        <v>2271</v>
      </c>
      <c r="Q19" s="27">
        <v>1890</v>
      </c>
      <c r="R19" s="27">
        <v>0</v>
      </c>
      <c r="S19" s="27">
        <v>0</v>
      </c>
      <c r="T19" s="27">
        <v>381</v>
      </c>
      <c r="U19" s="30">
        <f t="shared" si="3"/>
        <v>-71</v>
      </c>
      <c r="V19" s="27">
        <v>-100</v>
      </c>
      <c r="W19" s="27">
        <v>0</v>
      </c>
      <c r="X19" s="27">
        <v>0</v>
      </c>
      <c r="Y19" s="31">
        <v>29</v>
      </c>
      <c r="Z19" s="30">
        <f t="shared" si="5"/>
        <v>96.968403074295466</v>
      </c>
      <c r="AA19" s="27">
        <f t="shared" si="6"/>
        <v>94.9748743718593</v>
      </c>
      <c r="AB19" s="27" t="str">
        <f t="shared" si="7"/>
        <v xml:space="preserve"> </v>
      </c>
      <c r="AC19" s="27" t="str">
        <f t="shared" si="8"/>
        <v xml:space="preserve"> </v>
      </c>
      <c r="AD19" s="31">
        <f t="shared" si="9"/>
        <v>108.23863636363636</v>
      </c>
    </row>
    <row r="20" spans="2:30" ht="15.75" thickBot="1" x14ac:dyDescent="0.25">
      <c r="B20" s="336" t="s">
        <v>328</v>
      </c>
      <c r="C20" s="335"/>
      <c r="D20" s="393" t="s">
        <v>312</v>
      </c>
      <c r="E20" s="333" t="s">
        <v>327</v>
      </c>
      <c r="F20" s="34">
        <f t="shared" si="0"/>
        <v>2342</v>
      </c>
      <c r="G20" s="331">
        <f>G19</f>
        <v>1990</v>
      </c>
      <c r="H20" s="331">
        <f>H19</f>
        <v>0</v>
      </c>
      <c r="I20" s="331">
        <f>I19</f>
        <v>0</v>
      </c>
      <c r="J20" s="331">
        <f>J19</f>
        <v>352</v>
      </c>
      <c r="K20" s="34">
        <f t="shared" si="1"/>
        <v>2342</v>
      </c>
      <c r="L20" s="331">
        <f>L19</f>
        <v>1990</v>
      </c>
      <c r="M20" s="331">
        <f>M19</f>
        <v>0</v>
      </c>
      <c r="N20" s="331">
        <f>N19</f>
        <v>0</v>
      </c>
      <c r="O20" s="331">
        <f>O19</f>
        <v>352</v>
      </c>
      <c r="P20" s="34">
        <f t="shared" si="2"/>
        <v>2271</v>
      </c>
      <c r="Q20" s="331">
        <f>Q19</f>
        <v>1890</v>
      </c>
      <c r="R20" s="331">
        <f>R19</f>
        <v>0</v>
      </c>
      <c r="S20" s="331">
        <f>S19</f>
        <v>0</v>
      </c>
      <c r="T20" s="331">
        <f>T19</f>
        <v>381</v>
      </c>
      <c r="U20" s="34">
        <f t="shared" si="3"/>
        <v>-71</v>
      </c>
      <c r="V20" s="331">
        <f>V19</f>
        <v>-100</v>
      </c>
      <c r="W20" s="331">
        <f>W19</f>
        <v>0</v>
      </c>
      <c r="X20" s="331">
        <f>X19</f>
        <v>0</v>
      </c>
      <c r="Y20" s="330">
        <f>Y19</f>
        <v>29</v>
      </c>
      <c r="Z20" s="34">
        <f t="shared" si="5"/>
        <v>96.968403074295466</v>
      </c>
      <c r="AA20" s="331">
        <f t="shared" si="6"/>
        <v>94.9748743718593</v>
      </c>
      <c r="AB20" s="331" t="str">
        <f t="shared" si="7"/>
        <v xml:space="preserve"> </v>
      </c>
      <c r="AC20" s="331" t="str">
        <f t="shared" si="8"/>
        <v xml:space="preserve"> </v>
      </c>
      <c r="AD20" s="330">
        <f t="shared" si="9"/>
        <v>108.23863636363636</v>
      </c>
    </row>
    <row r="21" spans="2:30" ht="15" thickBot="1" x14ac:dyDescent="0.25">
      <c r="B21" s="339" t="s">
        <v>326</v>
      </c>
      <c r="C21" s="338" t="s">
        <v>515</v>
      </c>
      <c r="D21" s="394" t="s">
        <v>312</v>
      </c>
      <c r="E21" s="35" t="s">
        <v>325</v>
      </c>
      <c r="F21" s="30">
        <f t="shared" si="0"/>
        <v>3787</v>
      </c>
      <c r="G21" s="27">
        <v>2769</v>
      </c>
      <c r="H21" s="27">
        <v>0</v>
      </c>
      <c r="I21" s="27">
        <v>0</v>
      </c>
      <c r="J21" s="27">
        <v>1018</v>
      </c>
      <c r="K21" s="30">
        <f t="shared" si="1"/>
        <v>3787</v>
      </c>
      <c r="L21" s="27">
        <v>2769</v>
      </c>
      <c r="M21" s="27">
        <v>0</v>
      </c>
      <c r="N21" s="27">
        <v>0</v>
      </c>
      <c r="O21" s="27">
        <v>1018</v>
      </c>
      <c r="P21" s="30">
        <f t="shared" si="2"/>
        <v>3555</v>
      </c>
      <c r="Q21" s="27">
        <v>2631</v>
      </c>
      <c r="R21" s="27">
        <v>0</v>
      </c>
      <c r="S21" s="27">
        <v>0</v>
      </c>
      <c r="T21" s="27">
        <v>924</v>
      </c>
      <c r="U21" s="30">
        <f t="shared" si="3"/>
        <v>-232</v>
      </c>
      <c r="V21" s="27">
        <v>-138</v>
      </c>
      <c r="W21" s="27">
        <v>0</v>
      </c>
      <c r="X21" s="27">
        <v>0</v>
      </c>
      <c r="Y21" s="31">
        <v>-94</v>
      </c>
      <c r="Z21" s="30">
        <f t="shared" si="5"/>
        <v>93.873778716662272</v>
      </c>
      <c r="AA21" s="27">
        <f t="shared" si="6"/>
        <v>95.016251354279518</v>
      </c>
      <c r="AB21" s="27" t="str">
        <f t="shared" si="7"/>
        <v xml:space="preserve"> </v>
      </c>
      <c r="AC21" s="27" t="str">
        <f t="shared" si="8"/>
        <v xml:space="preserve"> </v>
      </c>
      <c r="AD21" s="31">
        <f t="shared" si="9"/>
        <v>90.766208251473472</v>
      </c>
    </row>
    <row r="22" spans="2:30" ht="15.75" thickBot="1" x14ac:dyDescent="0.25">
      <c r="B22" s="336" t="s">
        <v>326</v>
      </c>
      <c r="C22" s="335"/>
      <c r="D22" s="393" t="s">
        <v>312</v>
      </c>
      <c r="E22" s="333" t="s">
        <v>325</v>
      </c>
      <c r="F22" s="34">
        <f t="shared" si="0"/>
        <v>3787</v>
      </c>
      <c r="G22" s="331">
        <f>G21</f>
        <v>2769</v>
      </c>
      <c r="H22" s="331">
        <f>H21</f>
        <v>0</v>
      </c>
      <c r="I22" s="331">
        <f>I21</f>
        <v>0</v>
      </c>
      <c r="J22" s="331">
        <f>J21</f>
        <v>1018</v>
      </c>
      <c r="K22" s="34">
        <f t="shared" si="1"/>
        <v>3787</v>
      </c>
      <c r="L22" s="331">
        <f>L21</f>
        <v>2769</v>
      </c>
      <c r="M22" s="331">
        <f>M21</f>
        <v>0</v>
      </c>
      <c r="N22" s="331">
        <f>N21</f>
        <v>0</v>
      </c>
      <c r="O22" s="331">
        <f>O21</f>
        <v>1018</v>
      </c>
      <c r="P22" s="34">
        <f t="shared" si="2"/>
        <v>3555</v>
      </c>
      <c r="Q22" s="331">
        <f>Q21</f>
        <v>2631</v>
      </c>
      <c r="R22" s="331">
        <f>R21</f>
        <v>0</v>
      </c>
      <c r="S22" s="331">
        <f>S21</f>
        <v>0</v>
      </c>
      <c r="T22" s="331">
        <f>T21</f>
        <v>924</v>
      </c>
      <c r="U22" s="34">
        <f t="shared" si="3"/>
        <v>-232</v>
      </c>
      <c r="V22" s="331">
        <f>V21</f>
        <v>-138</v>
      </c>
      <c r="W22" s="331">
        <f>W21</f>
        <v>0</v>
      </c>
      <c r="X22" s="331">
        <f>X21</f>
        <v>0</v>
      </c>
      <c r="Y22" s="330">
        <f>Y21</f>
        <v>-94</v>
      </c>
      <c r="Z22" s="34">
        <f t="shared" si="5"/>
        <v>93.873778716662272</v>
      </c>
      <c r="AA22" s="331">
        <f t="shared" si="6"/>
        <v>95.016251354279518</v>
      </c>
      <c r="AB22" s="331" t="str">
        <f t="shared" si="7"/>
        <v xml:space="preserve"> </v>
      </c>
      <c r="AC22" s="331" t="str">
        <f t="shared" si="8"/>
        <v xml:space="preserve"> </v>
      </c>
      <c r="AD22" s="330">
        <f t="shared" si="9"/>
        <v>90.766208251473472</v>
      </c>
    </row>
    <row r="23" spans="2:30" ht="26.25" thickBot="1" x14ac:dyDescent="0.25">
      <c r="B23" s="339" t="s">
        <v>324</v>
      </c>
      <c r="C23" s="338" t="s">
        <v>511</v>
      </c>
      <c r="D23" s="394" t="s">
        <v>312</v>
      </c>
      <c r="E23" s="35" t="s">
        <v>533</v>
      </c>
      <c r="F23" s="30">
        <f t="shared" si="0"/>
        <v>700</v>
      </c>
      <c r="G23" s="27">
        <v>700</v>
      </c>
      <c r="H23" s="27">
        <v>0</v>
      </c>
      <c r="I23" s="27">
        <v>0</v>
      </c>
      <c r="J23" s="27">
        <v>0</v>
      </c>
      <c r="K23" s="30">
        <f t="shared" si="1"/>
        <v>700</v>
      </c>
      <c r="L23" s="27">
        <v>700</v>
      </c>
      <c r="M23" s="27">
        <v>0</v>
      </c>
      <c r="N23" s="27">
        <v>0</v>
      </c>
      <c r="O23" s="27">
        <v>0</v>
      </c>
      <c r="P23" s="30">
        <f t="shared" si="2"/>
        <v>750</v>
      </c>
      <c r="Q23" s="27">
        <v>750</v>
      </c>
      <c r="R23" s="27">
        <v>0</v>
      </c>
      <c r="S23" s="27">
        <v>0</v>
      </c>
      <c r="T23" s="27">
        <v>0</v>
      </c>
      <c r="U23" s="30">
        <f t="shared" si="3"/>
        <v>50</v>
      </c>
      <c r="V23" s="27">
        <v>50</v>
      </c>
      <c r="W23" s="27">
        <v>0</v>
      </c>
      <c r="X23" s="27">
        <v>0</v>
      </c>
      <c r="Y23" s="31">
        <v>0</v>
      </c>
      <c r="Z23" s="30">
        <f t="shared" si="5"/>
        <v>107.14285714285714</v>
      </c>
      <c r="AA23" s="27">
        <f t="shared" si="6"/>
        <v>107.14285714285714</v>
      </c>
      <c r="AB23" s="27" t="str">
        <f t="shared" si="7"/>
        <v xml:space="preserve"> </v>
      </c>
      <c r="AC23" s="27" t="str">
        <f t="shared" si="8"/>
        <v xml:space="preserve"> </v>
      </c>
      <c r="AD23" s="31" t="str">
        <f t="shared" si="9"/>
        <v xml:space="preserve"> </v>
      </c>
    </row>
    <row r="24" spans="2:30" ht="26.25" thickBot="1" x14ac:dyDescent="0.25">
      <c r="B24" s="339" t="s">
        <v>324</v>
      </c>
      <c r="C24" s="338" t="s">
        <v>506</v>
      </c>
      <c r="D24" s="394" t="s">
        <v>312</v>
      </c>
      <c r="E24" s="35" t="s">
        <v>533</v>
      </c>
      <c r="F24" s="30">
        <f t="shared" si="0"/>
        <v>5120</v>
      </c>
      <c r="G24" s="27">
        <v>2100</v>
      </c>
      <c r="H24" s="27">
        <v>0</v>
      </c>
      <c r="I24" s="27">
        <v>0</v>
      </c>
      <c r="J24" s="27">
        <v>3020</v>
      </c>
      <c r="K24" s="30">
        <f t="shared" si="1"/>
        <v>5120</v>
      </c>
      <c r="L24" s="27">
        <f>209325/100</f>
        <v>2093.25</v>
      </c>
      <c r="M24" s="27">
        <f>675/100</f>
        <v>6.75</v>
      </c>
      <c r="N24" s="27">
        <v>0</v>
      </c>
      <c r="O24" s="27">
        <v>3020</v>
      </c>
      <c r="P24" s="30">
        <f t="shared" si="2"/>
        <v>5030</v>
      </c>
      <c r="Q24" s="27">
        <v>2000</v>
      </c>
      <c r="R24" s="27">
        <v>0</v>
      </c>
      <c r="S24" s="27">
        <v>0</v>
      </c>
      <c r="T24" s="27">
        <v>3030</v>
      </c>
      <c r="U24" s="30">
        <f t="shared" si="3"/>
        <v>-90</v>
      </c>
      <c r="V24" s="27">
        <v>-100</v>
      </c>
      <c r="W24" s="27">
        <v>0</v>
      </c>
      <c r="X24" s="27">
        <v>0</v>
      </c>
      <c r="Y24" s="31">
        <v>10</v>
      </c>
      <c r="Z24" s="30">
        <f t="shared" si="5"/>
        <v>98.2421875</v>
      </c>
      <c r="AA24" s="27">
        <f t="shared" si="6"/>
        <v>95.238095238095227</v>
      </c>
      <c r="AB24" s="27" t="str">
        <f t="shared" si="7"/>
        <v xml:space="preserve"> </v>
      </c>
      <c r="AC24" s="27" t="str">
        <f t="shared" si="8"/>
        <v xml:space="preserve"> </v>
      </c>
      <c r="AD24" s="31">
        <f t="shared" si="9"/>
        <v>100.33112582781456</v>
      </c>
    </row>
    <row r="25" spans="2:30" ht="26.25" thickBot="1" x14ac:dyDescent="0.25">
      <c r="B25" s="339" t="s">
        <v>324</v>
      </c>
      <c r="C25" s="338" t="s">
        <v>498</v>
      </c>
      <c r="D25" s="394" t="s">
        <v>312</v>
      </c>
      <c r="E25" s="35" t="s">
        <v>533</v>
      </c>
      <c r="F25" s="30">
        <f t="shared" si="0"/>
        <v>500</v>
      </c>
      <c r="G25" s="27">
        <v>500</v>
      </c>
      <c r="H25" s="27">
        <v>0</v>
      </c>
      <c r="I25" s="27">
        <v>0</v>
      </c>
      <c r="J25" s="27">
        <v>0</v>
      </c>
      <c r="K25" s="30">
        <f t="shared" si="1"/>
        <v>500</v>
      </c>
      <c r="L25" s="27">
        <v>500</v>
      </c>
      <c r="M25" s="27">
        <v>0</v>
      </c>
      <c r="N25" s="27">
        <v>0</v>
      </c>
      <c r="O25" s="27">
        <v>0</v>
      </c>
      <c r="P25" s="30">
        <f t="shared" si="2"/>
        <v>550</v>
      </c>
      <c r="Q25" s="27">
        <v>550</v>
      </c>
      <c r="R25" s="27">
        <v>0</v>
      </c>
      <c r="S25" s="27">
        <v>0</v>
      </c>
      <c r="T25" s="27">
        <v>0</v>
      </c>
      <c r="U25" s="30">
        <f t="shared" si="3"/>
        <v>50</v>
      </c>
      <c r="V25" s="27">
        <v>50</v>
      </c>
      <c r="W25" s="27">
        <v>0</v>
      </c>
      <c r="X25" s="27">
        <v>0</v>
      </c>
      <c r="Y25" s="31">
        <v>0</v>
      </c>
      <c r="Z25" s="30">
        <f t="shared" si="5"/>
        <v>110.00000000000001</v>
      </c>
      <c r="AA25" s="27">
        <f t="shared" si="6"/>
        <v>110.00000000000001</v>
      </c>
      <c r="AB25" s="27" t="str">
        <f t="shared" si="7"/>
        <v xml:space="preserve"> </v>
      </c>
      <c r="AC25" s="27" t="str">
        <f t="shared" si="8"/>
        <v xml:space="preserve"> </v>
      </c>
      <c r="AD25" s="31" t="str">
        <f t="shared" si="9"/>
        <v xml:space="preserve"> </v>
      </c>
    </row>
    <row r="26" spans="2:30" ht="26.25" thickBot="1" x14ac:dyDescent="0.25">
      <c r="B26" s="339" t="s">
        <v>324</v>
      </c>
      <c r="C26" s="338" t="s">
        <v>505</v>
      </c>
      <c r="D26" s="394" t="s">
        <v>312</v>
      </c>
      <c r="E26" s="35" t="s">
        <v>533</v>
      </c>
      <c r="F26" s="30">
        <f t="shared" si="0"/>
        <v>400</v>
      </c>
      <c r="G26" s="27">
        <v>400</v>
      </c>
      <c r="H26" s="27">
        <v>0</v>
      </c>
      <c r="I26" s="27">
        <v>0</v>
      </c>
      <c r="J26" s="27">
        <v>0</v>
      </c>
      <c r="K26" s="30">
        <f t="shared" si="1"/>
        <v>400</v>
      </c>
      <c r="L26" s="27">
        <v>400</v>
      </c>
      <c r="M26" s="27">
        <v>0</v>
      </c>
      <c r="N26" s="27">
        <v>0</v>
      </c>
      <c r="O26" s="27">
        <v>0</v>
      </c>
      <c r="P26" s="30">
        <f t="shared" si="2"/>
        <v>400</v>
      </c>
      <c r="Q26" s="27">
        <v>400</v>
      </c>
      <c r="R26" s="27">
        <v>0</v>
      </c>
      <c r="S26" s="27">
        <v>0</v>
      </c>
      <c r="T26" s="27">
        <v>0</v>
      </c>
      <c r="U26" s="30">
        <f t="shared" si="3"/>
        <v>0</v>
      </c>
      <c r="V26" s="27">
        <v>0</v>
      </c>
      <c r="W26" s="27">
        <v>0</v>
      </c>
      <c r="X26" s="27">
        <v>0</v>
      </c>
      <c r="Y26" s="31">
        <v>0</v>
      </c>
      <c r="Z26" s="30">
        <f t="shared" si="5"/>
        <v>100</v>
      </c>
      <c r="AA26" s="27">
        <f t="shared" si="6"/>
        <v>100</v>
      </c>
      <c r="AB26" s="27" t="str">
        <f t="shared" si="7"/>
        <v xml:space="preserve"> </v>
      </c>
      <c r="AC26" s="27" t="str">
        <f t="shared" si="8"/>
        <v xml:space="preserve"> </v>
      </c>
      <c r="AD26" s="31" t="str">
        <f t="shared" si="9"/>
        <v xml:space="preserve"> </v>
      </c>
    </row>
    <row r="27" spans="2:30" ht="26.25" thickBot="1" x14ac:dyDescent="0.25">
      <c r="B27" s="336" t="s">
        <v>324</v>
      </c>
      <c r="C27" s="335"/>
      <c r="D27" s="393" t="s">
        <v>312</v>
      </c>
      <c r="E27" s="333" t="s">
        <v>533</v>
      </c>
      <c r="F27" s="34">
        <f t="shared" si="0"/>
        <v>6720</v>
      </c>
      <c r="G27" s="331">
        <f>SUM(G23:G26)</f>
        <v>3700</v>
      </c>
      <c r="H27" s="331">
        <f>SUM(H23:H26)</f>
        <v>0</v>
      </c>
      <c r="I27" s="331">
        <f>SUM(I23:I26)</f>
        <v>0</v>
      </c>
      <c r="J27" s="331">
        <f>SUM(J23:J26)</f>
        <v>3020</v>
      </c>
      <c r="K27" s="34">
        <f t="shared" si="1"/>
        <v>6720</v>
      </c>
      <c r="L27" s="331">
        <f>SUM(L23:L26)</f>
        <v>3693.25</v>
      </c>
      <c r="M27" s="331">
        <f>SUM(M23:M26)</f>
        <v>6.75</v>
      </c>
      <c r="N27" s="331">
        <f>SUM(N23:N26)</f>
        <v>0</v>
      </c>
      <c r="O27" s="331">
        <f>SUM(O23:O26)</f>
        <v>3020</v>
      </c>
      <c r="P27" s="34">
        <f t="shared" si="2"/>
        <v>6730</v>
      </c>
      <c r="Q27" s="331">
        <f>SUM(Q23:Q26)</f>
        <v>3700</v>
      </c>
      <c r="R27" s="331">
        <f>SUM(R23:R26)</f>
        <v>0</v>
      </c>
      <c r="S27" s="331">
        <f>SUM(S23:S26)</f>
        <v>0</v>
      </c>
      <c r="T27" s="331">
        <f>SUM(T23:T26)</f>
        <v>3030</v>
      </c>
      <c r="U27" s="34">
        <f t="shared" si="3"/>
        <v>10</v>
      </c>
      <c r="V27" s="331">
        <f>SUM(V23:V26)</f>
        <v>0</v>
      </c>
      <c r="W27" s="331">
        <f>SUM(W23:W26)</f>
        <v>0</v>
      </c>
      <c r="X27" s="331">
        <f>SUM(X23:X26)</f>
        <v>0</v>
      </c>
      <c r="Y27" s="330">
        <f>SUM(Y23:Y26)</f>
        <v>10</v>
      </c>
      <c r="Z27" s="34">
        <f t="shared" si="5"/>
        <v>100.14880952380953</v>
      </c>
      <c r="AA27" s="331">
        <f t="shared" si="6"/>
        <v>100</v>
      </c>
      <c r="AB27" s="331" t="str">
        <f t="shared" si="7"/>
        <v xml:space="preserve"> </v>
      </c>
      <c r="AC27" s="331" t="str">
        <f t="shared" si="8"/>
        <v xml:space="preserve"> </v>
      </c>
      <c r="AD27" s="330">
        <f t="shared" si="9"/>
        <v>100.33112582781456</v>
      </c>
    </row>
    <row r="28" spans="2:30" ht="15" thickBot="1" x14ac:dyDescent="0.25">
      <c r="B28" s="339" t="s">
        <v>323</v>
      </c>
      <c r="C28" s="338" t="s">
        <v>511</v>
      </c>
      <c r="D28" s="394" t="s">
        <v>312</v>
      </c>
      <c r="E28" s="35" t="s">
        <v>532</v>
      </c>
      <c r="F28" s="30">
        <f t="shared" si="0"/>
        <v>2233</v>
      </c>
      <c r="G28" s="27">
        <v>1856</v>
      </c>
      <c r="H28" s="27">
        <v>0</v>
      </c>
      <c r="I28" s="27">
        <v>0</v>
      </c>
      <c r="J28" s="27">
        <v>377</v>
      </c>
      <c r="K28" s="30">
        <f t="shared" si="1"/>
        <v>2233</v>
      </c>
      <c r="L28" s="27">
        <v>1856</v>
      </c>
      <c r="M28" s="27">
        <v>0</v>
      </c>
      <c r="N28" s="27">
        <v>0</v>
      </c>
      <c r="O28" s="27">
        <v>377</v>
      </c>
      <c r="P28" s="30">
        <f t="shared" si="2"/>
        <v>1968</v>
      </c>
      <c r="Q28" s="27">
        <v>1598</v>
      </c>
      <c r="R28" s="27">
        <v>0</v>
      </c>
      <c r="S28" s="27">
        <v>0</v>
      </c>
      <c r="T28" s="27">
        <v>370</v>
      </c>
      <c r="U28" s="30">
        <f t="shared" si="3"/>
        <v>-265</v>
      </c>
      <c r="V28" s="27">
        <v>-258</v>
      </c>
      <c r="W28" s="27">
        <v>0</v>
      </c>
      <c r="X28" s="27">
        <v>0</v>
      </c>
      <c r="Y28" s="31">
        <v>-7</v>
      </c>
      <c r="Z28" s="30">
        <f t="shared" si="5"/>
        <v>88.132557098074344</v>
      </c>
      <c r="AA28" s="27">
        <f t="shared" si="6"/>
        <v>86.099137931034491</v>
      </c>
      <c r="AB28" s="27" t="str">
        <f t="shared" si="7"/>
        <v xml:space="preserve"> </v>
      </c>
      <c r="AC28" s="27" t="str">
        <f t="shared" si="8"/>
        <v xml:space="preserve"> </v>
      </c>
      <c r="AD28" s="31">
        <f t="shared" si="9"/>
        <v>98.143236074270561</v>
      </c>
    </row>
    <row r="29" spans="2:30" ht="15" thickBot="1" x14ac:dyDescent="0.25">
      <c r="B29" s="339" t="s">
        <v>323</v>
      </c>
      <c r="C29" s="338" t="s">
        <v>498</v>
      </c>
      <c r="D29" s="394" t="s">
        <v>312</v>
      </c>
      <c r="E29" s="35" t="s">
        <v>532</v>
      </c>
      <c r="F29" s="30">
        <f t="shared" si="0"/>
        <v>737</v>
      </c>
      <c r="G29" s="27">
        <v>500</v>
      </c>
      <c r="H29" s="27">
        <v>0</v>
      </c>
      <c r="I29" s="27">
        <v>0</v>
      </c>
      <c r="J29" s="27">
        <v>237</v>
      </c>
      <c r="K29" s="30">
        <f t="shared" si="1"/>
        <v>737</v>
      </c>
      <c r="L29" s="27">
        <v>500</v>
      </c>
      <c r="M29" s="27">
        <v>0</v>
      </c>
      <c r="N29" s="27">
        <v>0</v>
      </c>
      <c r="O29" s="27">
        <v>237</v>
      </c>
      <c r="P29" s="30">
        <f t="shared" si="2"/>
        <v>893</v>
      </c>
      <c r="Q29" s="27">
        <v>640</v>
      </c>
      <c r="R29" s="27">
        <v>0</v>
      </c>
      <c r="S29" s="27">
        <v>0</v>
      </c>
      <c r="T29" s="27">
        <v>253</v>
      </c>
      <c r="U29" s="30">
        <f t="shared" si="3"/>
        <v>156</v>
      </c>
      <c r="V29" s="27">
        <v>140</v>
      </c>
      <c r="W29" s="27">
        <v>0</v>
      </c>
      <c r="X29" s="27">
        <v>0</v>
      </c>
      <c r="Y29" s="31">
        <v>16</v>
      </c>
      <c r="Z29" s="30">
        <f t="shared" si="5"/>
        <v>121.16689280868384</v>
      </c>
      <c r="AA29" s="27">
        <f t="shared" si="6"/>
        <v>128</v>
      </c>
      <c r="AB29" s="27" t="str">
        <f t="shared" si="7"/>
        <v xml:space="preserve"> </v>
      </c>
      <c r="AC29" s="27" t="str">
        <f t="shared" si="8"/>
        <v xml:space="preserve"> </v>
      </c>
      <c r="AD29" s="31">
        <f t="shared" si="9"/>
        <v>106.75105485232068</v>
      </c>
    </row>
    <row r="30" spans="2:30" ht="26.25" thickBot="1" x14ac:dyDescent="0.25">
      <c r="B30" s="336" t="s">
        <v>323</v>
      </c>
      <c r="C30" s="335"/>
      <c r="D30" s="393" t="s">
        <v>312</v>
      </c>
      <c r="E30" s="333" t="s">
        <v>532</v>
      </c>
      <c r="F30" s="34">
        <f t="shared" si="0"/>
        <v>2970</v>
      </c>
      <c r="G30" s="331">
        <f>SUM(G28:G29)</f>
        <v>2356</v>
      </c>
      <c r="H30" s="331">
        <f>SUM(H28:H29)</f>
        <v>0</v>
      </c>
      <c r="I30" s="331">
        <f>SUM(I28:I29)</f>
        <v>0</v>
      </c>
      <c r="J30" s="331">
        <f>SUM(J28:J29)</f>
        <v>614</v>
      </c>
      <c r="K30" s="34">
        <f t="shared" si="1"/>
        <v>2970</v>
      </c>
      <c r="L30" s="331">
        <f>SUM(L28:L29)</f>
        <v>2356</v>
      </c>
      <c r="M30" s="331">
        <f>SUM(M28:M29)</f>
        <v>0</v>
      </c>
      <c r="N30" s="331">
        <f>SUM(N28:N29)</f>
        <v>0</v>
      </c>
      <c r="O30" s="331">
        <f>SUM(O28:O29)</f>
        <v>614</v>
      </c>
      <c r="P30" s="34">
        <f t="shared" si="2"/>
        <v>2861</v>
      </c>
      <c r="Q30" s="331">
        <f>SUM(Q28:Q29)</f>
        <v>2238</v>
      </c>
      <c r="R30" s="331">
        <f>SUM(R28:R29)</f>
        <v>0</v>
      </c>
      <c r="S30" s="331">
        <f>SUM(S28:S29)</f>
        <v>0</v>
      </c>
      <c r="T30" s="331">
        <f>SUM(T28:T29)</f>
        <v>623</v>
      </c>
      <c r="U30" s="34">
        <f t="shared" si="3"/>
        <v>-109</v>
      </c>
      <c r="V30" s="331">
        <f>SUM(V28:V29)</f>
        <v>-118</v>
      </c>
      <c r="W30" s="331">
        <f>SUM(W28:W29)</f>
        <v>0</v>
      </c>
      <c r="X30" s="331">
        <f>SUM(X28:X29)</f>
        <v>0</v>
      </c>
      <c r="Y30" s="330">
        <f>SUM(Y28:Y29)</f>
        <v>9</v>
      </c>
      <c r="Z30" s="34">
        <f t="shared" si="5"/>
        <v>96.329966329966339</v>
      </c>
      <c r="AA30" s="331">
        <f t="shared" si="6"/>
        <v>94.991511035653659</v>
      </c>
      <c r="AB30" s="331" t="str">
        <f t="shared" si="7"/>
        <v xml:space="preserve"> </v>
      </c>
      <c r="AC30" s="331" t="str">
        <f t="shared" si="8"/>
        <v xml:space="preserve"> </v>
      </c>
      <c r="AD30" s="330">
        <f t="shared" si="9"/>
        <v>101.46579804560261</v>
      </c>
    </row>
    <row r="31" spans="2:30" ht="15" thickBot="1" x14ac:dyDescent="0.25">
      <c r="B31" s="339" t="s">
        <v>322</v>
      </c>
      <c r="C31" s="338" t="s">
        <v>514</v>
      </c>
      <c r="D31" s="394" t="s">
        <v>312</v>
      </c>
      <c r="E31" s="35" t="s">
        <v>531</v>
      </c>
      <c r="F31" s="30">
        <f t="shared" si="0"/>
        <v>3376</v>
      </c>
      <c r="G31" s="27">
        <v>2461</v>
      </c>
      <c r="H31" s="27">
        <v>0</v>
      </c>
      <c r="I31" s="27">
        <v>0</v>
      </c>
      <c r="J31" s="27">
        <v>915</v>
      </c>
      <c r="K31" s="30">
        <f t="shared" si="1"/>
        <v>3376</v>
      </c>
      <c r="L31" s="27">
        <v>2461</v>
      </c>
      <c r="M31" s="27">
        <v>0</v>
      </c>
      <c r="N31" s="27">
        <v>0</v>
      </c>
      <c r="O31" s="27">
        <v>915</v>
      </c>
      <c r="P31" s="30">
        <f t="shared" si="2"/>
        <v>3236</v>
      </c>
      <c r="Q31" s="27">
        <v>2338</v>
      </c>
      <c r="R31" s="27">
        <v>0</v>
      </c>
      <c r="S31" s="27">
        <v>0</v>
      </c>
      <c r="T31" s="27">
        <v>898</v>
      </c>
      <c r="U31" s="30">
        <f t="shared" si="3"/>
        <v>-140</v>
      </c>
      <c r="V31" s="27">
        <v>-123</v>
      </c>
      <c r="W31" s="27">
        <v>0</v>
      </c>
      <c r="X31" s="27">
        <v>0</v>
      </c>
      <c r="Y31" s="31">
        <v>-17</v>
      </c>
      <c r="Z31" s="30">
        <f t="shared" si="5"/>
        <v>95.853080568720387</v>
      </c>
      <c r="AA31" s="27">
        <f t="shared" si="6"/>
        <v>95.002031694433157</v>
      </c>
      <c r="AB31" s="27" t="str">
        <f t="shared" si="7"/>
        <v xml:space="preserve"> </v>
      </c>
      <c r="AC31" s="27" t="str">
        <f t="shared" si="8"/>
        <v xml:space="preserve"> </v>
      </c>
      <c r="AD31" s="31">
        <f t="shared" si="9"/>
        <v>98.142076502732252</v>
      </c>
    </row>
    <row r="32" spans="2:30" ht="15" thickBot="1" x14ac:dyDescent="0.25">
      <c r="B32" s="339" t="s">
        <v>322</v>
      </c>
      <c r="C32" s="338" t="s">
        <v>498</v>
      </c>
      <c r="D32" s="394" t="s">
        <v>312</v>
      </c>
      <c r="E32" s="35" t="s">
        <v>531</v>
      </c>
      <c r="F32" s="30">
        <f t="shared" si="0"/>
        <v>365</v>
      </c>
      <c r="G32" s="27">
        <v>315</v>
      </c>
      <c r="H32" s="27">
        <v>50</v>
      </c>
      <c r="I32" s="27">
        <v>0</v>
      </c>
      <c r="J32" s="27">
        <v>0</v>
      </c>
      <c r="K32" s="30">
        <f t="shared" si="1"/>
        <v>365</v>
      </c>
      <c r="L32" s="27">
        <v>315</v>
      </c>
      <c r="M32" s="27">
        <v>50</v>
      </c>
      <c r="N32" s="27">
        <v>0</v>
      </c>
      <c r="O32" s="27">
        <v>0</v>
      </c>
      <c r="P32" s="30">
        <f t="shared" si="2"/>
        <v>349</v>
      </c>
      <c r="Q32" s="27">
        <v>299</v>
      </c>
      <c r="R32" s="27">
        <v>50</v>
      </c>
      <c r="S32" s="27">
        <v>0</v>
      </c>
      <c r="T32" s="27">
        <v>0</v>
      </c>
      <c r="U32" s="30">
        <f t="shared" si="3"/>
        <v>-16</v>
      </c>
      <c r="V32" s="27">
        <v>-16</v>
      </c>
      <c r="W32" s="27">
        <v>0</v>
      </c>
      <c r="X32" s="27">
        <v>0</v>
      </c>
      <c r="Y32" s="31">
        <v>0</v>
      </c>
      <c r="Z32" s="30">
        <f t="shared" si="5"/>
        <v>95.61643835616438</v>
      </c>
      <c r="AA32" s="27">
        <f t="shared" si="6"/>
        <v>94.92063492063491</v>
      </c>
      <c r="AB32" s="27">
        <f t="shared" si="7"/>
        <v>100</v>
      </c>
      <c r="AC32" s="27" t="str">
        <f t="shared" si="8"/>
        <v xml:space="preserve"> </v>
      </c>
      <c r="AD32" s="31" t="str">
        <f t="shared" si="9"/>
        <v xml:space="preserve"> </v>
      </c>
    </row>
    <row r="33" spans="2:30" ht="15" thickBot="1" x14ac:dyDescent="0.25">
      <c r="B33" s="339" t="s">
        <v>322</v>
      </c>
      <c r="C33" s="338" t="s">
        <v>519</v>
      </c>
      <c r="D33" s="394" t="s">
        <v>312</v>
      </c>
      <c r="E33" s="35" t="s">
        <v>531</v>
      </c>
      <c r="F33" s="30">
        <f t="shared" si="0"/>
        <v>379</v>
      </c>
      <c r="G33" s="27">
        <v>379</v>
      </c>
      <c r="H33" s="27">
        <v>0</v>
      </c>
      <c r="I33" s="27">
        <v>0</v>
      </c>
      <c r="J33" s="27">
        <v>0</v>
      </c>
      <c r="K33" s="30">
        <f t="shared" si="1"/>
        <v>379</v>
      </c>
      <c r="L33" s="27">
        <v>379</v>
      </c>
      <c r="M33" s="27">
        <v>0</v>
      </c>
      <c r="N33" s="27">
        <v>0</v>
      </c>
      <c r="O33" s="27">
        <v>0</v>
      </c>
      <c r="P33" s="30">
        <f t="shared" si="2"/>
        <v>360</v>
      </c>
      <c r="Q33" s="27">
        <v>360</v>
      </c>
      <c r="R33" s="27">
        <v>0</v>
      </c>
      <c r="S33" s="27">
        <v>0</v>
      </c>
      <c r="T33" s="27">
        <v>0</v>
      </c>
      <c r="U33" s="30">
        <f t="shared" si="3"/>
        <v>-19</v>
      </c>
      <c r="V33" s="27">
        <v>-19</v>
      </c>
      <c r="W33" s="27">
        <v>0</v>
      </c>
      <c r="X33" s="27">
        <v>0</v>
      </c>
      <c r="Y33" s="31">
        <v>0</v>
      </c>
      <c r="Z33" s="30">
        <f t="shared" si="5"/>
        <v>94.986807387862797</v>
      </c>
      <c r="AA33" s="27">
        <f t="shared" si="6"/>
        <v>94.986807387862797</v>
      </c>
      <c r="AB33" s="27" t="str">
        <f t="shared" si="7"/>
        <v xml:space="preserve"> </v>
      </c>
      <c r="AC33" s="27" t="str">
        <f t="shared" si="8"/>
        <v xml:space="preserve"> </v>
      </c>
      <c r="AD33" s="31" t="str">
        <f t="shared" si="9"/>
        <v xml:space="preserve"> </v>
      </c>
    </row>
    <row r="34" spans="2:30" ht="26.25" thickBot="1" x14ac:dyDescent="0.25">
      <c r="B34" s="336" t="s">
        <v>322</v>
      </c>
      <c r="C34" s="335"/>
      <c r="D34" s="393" t="s">
        <v>312</v>
      </c>
      <c r="E34" s="333" t="s">
        <v>531</v>
      </c>
      <c r="F34" s="34">
        <f t="shared" si="0"/>
        <v>4120</v>
      </c>
      <c r="G34" s="331">
        <f>SUM(G31:G33)</f>
        <v>3155</v>
      </c>
      <c r="H34" s="331">
        <f>SUM(H31:H33)</f>
        <v>50</v>
      </c>
      <c r="I34" s="331">
        <f>SUM(I31:I33)</f>
        <v>0</v>
      </c>
      <c r="J34" s="331">
        <f>SUM(J31:J33)</f>
        <v>915</v>
      </c>
      <c r="K34" s="34">
        <f t="shared" si="1"/>
        <v>4120</v>
      </c>
      <c r="L34" s="331">
        <f>SUM(L31:L33)</f>
        <v>3155</v>
      </c>
      <c r="M34" s="331">
        <f>SUM(M31:M33)</f>
        <v>50</v>
      </c>
      <c r="N34" s="331">
        <f>SUM(N31:N33)</f>
        <v>0</v>
      </c>
      <c r="O34" s="331">
        <f>SUM(O31:O33)</f>
        <v>915</v>
      </c>
      <c r="P34" s="34">
        <f t="shared" si="2"/>
        <v>3945</v>
      </c>
      <c r="Q34" s="331">
        <f>SUM(Q31:Q33)</f>
        <v>2997</v>
      </c>
      <c r="R34" s="331">
        <f>SUM(R31:R33)</f>
        <v>50</v>
      </c>
      <c r="S34" s="331">
        <f>SUM(S31:S33)</f>
        <v>0</v>
      </c>
      <c r="T34" s="331">
        <f>SUM(T31:T33)</f>
        <v>898</v>
      </c>
      <c r="U34" s="34">
        <f t="shared" si="3"/>
        <v>-175</v>
      </c>
      <c r="V34" s="331">
        <f>SUM(V31:V33)</f>
        <v>-158</v>
      </c>
      <c r="W34" s="331">
        <f>SUM(W31:W33)</f>
        <v>0</v>
      </c>
      <c r="X34" s="331">
        <f>SUM(X31:X33)</f>
        <v>0</v>
      </c>
      <c r="Y34" s="330">
        <f>SUM(Y31:Y33)</f>
        <v>-17</v>
      </c>
      <c r="Z34" s="34">
        <f t="shared" si="5"/>
        <v>95.752427184466015</v>
      </c>
      <c r="AA34" s="331">
        <f t="shared" si="6"/>
        <v>94.992076069730587</v>
      </c>
      <c r="AB34" s="331">
        <f t="shared" si="7"/>
        <v>100</v>
      </c>
      <c r="AC34" s="331" t="str">
        <f t="shared" si="8"/>
        <v xml:space="preserve"> </v>
      </c>
      <c r="AD34" s="330">
        <f t="shared" si="9"/>
        <v>98.142076502732252</v>
      </c>
    </row>
    <row r="35" spans="2:30" ht="15" thickBot="1" x14ac:dyDescent="0.25">
      <c r="B35" s="339" t="s">
        <v>321</v>
      </c>
      <c r="C35" s="338" t="s">
        <v>506</v>
      </c>
      <c r="D35" s="394" t="s">
        <v>312</v>
      </c>
      <c r="E35" s="35" t="s">
        <v>530</v>
      </c>
      <c r="F35" s="30">
        <f t="shared" si="0"/>
        <v>3540</v>
      </c>
      <c r="G35" s="27">
        <v>2100</v>
      </c>
      <c r="H35" s="27">
        <v>0</v>
      </c>
      <c r="I35" s="27">
        <v>0</v>
      </c>
      <c r="J35" s="27">
        <v>1440</v>
      </c>
      <c r="K35" s="30">
        <f t="shared" si="1"/>
        <v>3540</v>
      </c>
      <c r="L35" s="27">
        <v>2100</v>
      </c>
      <c r="M35" s="27">
        <v>0</v>
      </c>
      <c r="N35" s="27">
        <v>0</v>
      </c>
      <c r="O35" s="27">
        <v>1440</v>
      </c>
      <c r="P35" s="30">
        <f t="shared" si="2"/>
        <v>3275</v>
      </c>
      <c r="Q35" s="27">
        <v>1994</v>
      </c>
      <c r="R35" s="27">
        <v>0</v>
      </c>
      <c r="S35" s="27">
        <v>0</v>
      </c>
      <c r="T35" s="27">
        <v>1281</v>
      </c>
      <c r="U35" s="30">
        <f t="shared" si="3"/>
        <v>-265</v>
      </c>
      <c r="V35" s="27">
        <v>-106</v>
      </c>
      <c r="W35" s="27">
        <v>0</v>
      </c>
      <c r="X35" s="27">
        <v>0</v>
      </c>
      <c r="Y35" s="31">
        <v>-159</v>
      </c>
      <c r="Z35" s="30">
        <f t="shared" si="5"/>
        <v>92.514124293785315</v>
      </c>
      <c r="AA35" s="27">
        <f t="shared" si="6"/>
        <v>94.952380952380949</v>
      </c>
      <c r="AB35" s="27" t="str">
        <f t="shared" si="7"/>
        <v xml:space="preserve"> </v>
      </c>
      <c r="AC35" s="27" t="str">
        <f t="shared" si="8"/>
        <v xml:space="preserve"> </v>
      </c>
      <c r="AD35" s="31">
        <f t="shared" si="9"/>
        <v>88.958333333333329</v>
      </c>
    </row>
    <row r="36" spans="2:30" ht="15" thickBot="1" x14ac:dyDescent="0.25">
      <c r="B36" s="339" t="s">
        <v>321</v>
      </c>
      <c r="C36" s="338" t="s">
        <v>498</v>
      </c>
      <c r="D36" s="394" t="s">
        <v>312</v>
      </c>
      <c r="E36" s="35" t="s">
        <v>530</v>
      </c>
      <c r="F36" s="30">
        <f t="shared" si="0"/>
        <v>1113</v>
      </c>
      <c r="G36" s="27">
        <v>650</v>
      </c>
      <c r="H36" s="27">
        <v>230</v>
      </c>
      <c r="I36" s="27">
        <v>0</v>
      </c>
      <c r="J36" s="27">
        <v>233</v>
      </c>
      <c r="K36" s="30">
        <f t="shared" si="1"/>
        <v>1113</v>
      </c>
      <c r="L36" s="27">
        <v>650</v>
      </c>
      <c r="M36" s="27">
        <v>230</v>
      </c>
      <c r="N36" s="27">
        <v>0</v>
      </c>
      <c r="O36" s="27">
        <v>233</v>
      </c>
      <c r="P36" s="30">
        <f t="shared" si="2"/>
        <v>1094</v>
      </c>
      <c r="Q36" s="27">
        <v>618</v>
      </c>
      <c r="R36" s="27">
        <v>230</v>
      </c>
      <c r="S36" s="27">
        <v>0</v>
      </c>
      <c r="T36" s="27">
        <v>246</v>
      </c>
      <c r="U36" s="30">
        <f t="shared" si="3"/>
        <v>-19</v>
      </c>
      <c r="V36" s="27">
        <v>-32</v>
      </c>
      <c r="W36" s="27">
        <v>0</v>
      </c>
      <c r="X36" s="27">
        <v>0</v>
      </c>
      <c r="Y36" s="31">
        <v>13</v>
      </c>
      <c r="Z36" s="30">
        <f t="shared" si="5"/>
        <v>98.292902066486974</v>
      </c>
      <c r="AA36" s="27">
        <f t="shared" si="6"/>
        <v>95.07692307692308</v>
      </c>
      <c r="AB36" s="27">
        <f t="shared" si="7"/>
        <v>100</v>
      </c>
      <c r="AC36" s="27" t="str">
        <f t="shared" si="8"/>
        <v xml:space="preserve"> </v>
      </c>
      <c r="AD36" s="31">
        <f t="shared" si="9"/>
        <v>105.5793991416309</v>
      </c>
    </row>
    <row r="37" spans="2:30" ht="15" thickBot="1" x14ac:dyDescent="0.25">
      <c r="B37" s="339" t="s">
        <v>321</v>
      </c>
      <c r="C37" s="338" t="s">
        <v>505</v>
      </c>
      <c r="D37" s="394" t="s">
        <v>312</v>
      </c>
      <c r="E37" s="35" t="s">
        <v>530</v>
      </c>
      <c r="F37" s="30">
        <f t="shared" si="0"/>
        <v>726</v>
      </c>
      <c r="G37" s="27">
        <v>566</v>
      </c>
      <c r="H37" s="27">
        <v>0</v>
      </c>
      <c r="I37" s="27">
        <v>0</v>
      </c>
      <c r="J37" s="27">
        <v>160</v>
      </c>
      <c r="K37" s="30">
        <f t="shared" si="1"/>
        <v>726</v>
      </c>
      <c r="L37" s="27">
        <v>566</v>
      </c>
      <c r="M37" s="27">
        <v>0</v>
      </c>
      <c r="N37" s="27">
        <v>0</v>
      </c>
      <c r="O37" s="27">
        <v>160</v>
      </c>
      <c r="P37" s="30">
        <f t="shared" si="2"/>
        <v>756</v>
      </c>
      <c r="Q37" s="27">
        <v>538</v>
      </c>
      <c r="R37" s="27">
        <v>0</v>
      </c>
      <c r="S37" s="27">
        <v>0</v>
      </c>
      <c r="T37" s="27">
        <v>218</v>
      </c>
      <c r="U37" s="30">
        <f t="shared" si="3"/>
        <v>30</v>
      </c>
      <c r="V37" s="27">
        <v>-28</v>
      </c>
      <c r="W37" s="27">
        <v>0</v>
      </c>
      <c r="X37" s="27">
        <v>0</v>
      </c>
      <c r="Y37" s="31">
        <v>58</v>
      </c>
      <c r="Z37" s="30">
        <f t="shared" si="5"/>
        <v>104.13223140495869</v>
      </c>
      <c r="AA37" s="27">
        <f t="shared" si="6"/>
        <v>95.053003533568898</v>
      </c>
      <c r="AB37" s="27" t="str">
        <f t="shared" si="7"/>
        <v xml:space="preserve"> </v>
      </c>
      <c r="AC37" s="27" t="str">
        <f t="shared" si="8"/>
        <v xml:space="preserve"> </v>
      </c>
      <c r="AD37" s="31">
        <f t="shared" si="9"/>
        <v>136.25</v>
      </c>
    </row>
    <row r="38" spans="2:30" ht="26.25" thickBot="1" x14ac:dyDescent="0.25">
      <c r="B38" s="336" t="s">
        <v>321</v>
      </c>
      <c r="C38" s="335"/>
      <c r="D38" s="393" t="s">
        <v>312</v>
      </c>
      <c r="E38" s="333" t="s">
        <v>530</v>
      </c>
      <c r="F38" s="34">
        <f t="shared" si="0"/>
        <v>5379</v>
      </c>
      <c r="G38" s="331">
        <f>SUM(G35:G37)</f>
        <v>3316</v>
      </c>
      <c r="H38" s="331">
        <f>SUM(H35:H37)</f>
        <v>230</v>
      </c>
      <c r="I38" s="331">
        <f>SUM(I35:I37)</f>
        <v>0</v>
      </c>
      <c r="J38" s="331">
        <f>SUM(J35:J37)</f>
        <v>1833</v>
      </c>
      <c r="K38" s="34">
        <f t="shared" si="1"/>
        <v>5379</v>
      </c>
      <c r="L38" s="331">
        <f>SUM(L35:L37)</f>
        <v>3316</v>
      </c>
      <c r="M38" s="331">
        <f>SUM(M35:M37)</f>
        <v>230</v>
      </c>
      <c r="N38" s="331">
        <f>SUM(N35:N37)</f>
        <v>0</v>
      </c>
      <c r="O38" s="331">
        <f>SUM(O35:O37)</f>
        <v>1833</v>
      </c>
      <c r="P38" s="34">
        <f t="shared" si="2"/>
        <v>5125</v>
      </c>
      <c r="Q38" s="331">
        <f>SUM(Q35:Q37)</f>
        <v>3150</v>
      </c>
      <c r="R38" s="331">
        <f>SUM(R35:R37)</f>
        <v>230</v>
      </c>
      <c r="S38" s="331">
        <f>SUM(S35:S37)</f>
        <v>0</v>
      </c>
      <c r="T38" s="331">
        <f>SUM(T35:T37)</f>
        <v>1745</v>
      </c>
      <c r="U38" s="34">
        <f t="shared" si="3"/>
        <v>-254</v>
      </c>
      <c r="V38" s="331">
        <f>SUM(V35:V37)</f>
        <v>-166</v>
      </c>
      <c r="W38" s="331">
        <f>SUM(W35:W37)</f>
        <v>0</v>
      </c>
      <c r="X38" s="331">
        <f>SUM(X35:X37)</f>
        <v>0</v>
      </c>
      <c r="Y38" s="330">
        <f>SUM(Y35:Y37)</f>
        <v>-88</v>
      </c>
      <c r="Z38" s="34">
        <f t="shared" si="5"/>
        <v>95.277932701245589</v>
      </c>
      <c r="AA38" s="331">
        <f t="shared" si="6"/>
        <v>94.993968636911944</v>
      </c>
      <c r="AB38" s="331">
        <f t="shared" si="7"/>
        <v>100</v>
      </c>
      <c r="AC38" s="331" t="str">
        <f t="shared" si="8"/>
        <v xml:space="preserve"> </v>
      </c>
      <c r="AD38" s="330">
        <f t="shared" si="9"/>
        <v>95.199127114020726</v>
      </c>
    </row>
    <row r="39" spans="2:30" ht="15" thickBot="1" x14ac:dyDescent="0.25">
      <c r="B39" s="339" t="s">
        <v>320</v>
      </c>
      <c r="C39" s="338" t="s">
        <v>506</v>
      </c>
      <c r="D39" s="394" t="s">
        <v>312</v>
      </c>
      <c r="E39" s="35" t="s">
        <v>319</v>
      </c>
      <c r="F39" s="30">
        <f t="shared" si="0"/>
        <v>3350</v>
      </c>
      <c r="G39" s="27">
        <v>2310</v>
      </c>
      <c r="H39" s="27">
        <v>250</v>
      </c>
      <c r="I39" s="27">
        <v>0</v>
      </c>
      <c r="J39" s="27">
        <v>790</v>
      </c>
      <c r="K39" s="30">
        <f t="shared" si="1"/>
        <v>3350</v>
      </c>
      <c r="L39" s="27">
        <v>2310</v>
      </c>
      <c r="M39" s="27">
        <v>250</v>
      </c>
      <c r="N39" s="27">
        <v>0</v>
      </c>
      <c r="O39" s="27">
        <v>790</v>
      </c>
      <c r="P39" s="30">
        <f t="shared" si="2"/>
        <v>3371</v>
      </c>
      <c r="Q39" s="27">
        <v>2094</v>
      </c>
      <c r="R39" s="27">
        <v>250</v>
      </c>
      <c r="S39" s="27">
        <v>0</v>
      </c>
      <c r="T39" s="27">
        <v>1027</v>
      </c>
      <c r="U39" s="30">
        <f t="shared" si="3"/>
        <v>21</v>
      </c>
      <c r="V39" s="27">
        <v>-216</v>
      </c>
      <c r="W39" s="27">
        <v>0</v>
      </c>
      <c r="X39" s="27">
        <v>0</v>
      </c>
      <c r="Y39" s="31">
        <v>237</v>
      </c>
      <c r="Z39" s="30">
        <f t="shared" si="5"/>
        <v>100.62686567164178</v>
      </c>
      <c r="AA39" s="27">
        <f t="shared" si="6"/>
        <v>90.649350649350652</v>
      </c>
      <c r="AB39" s="27">
        <f t="shared" si="7"/>
        <v>100</v>
      </c>
      <c r="AC39" s="27" t="str">
        <f t="shared" si="8"/>
        <v xml:space="preserve"> </v>
      </c>
      <c r="AD39" s="31">
        <f t="shared" si="9"/>
        <v>130</v>
      </c>
    </row>
    <row r="40" spans="2:30" ht="15" thickBot="1" x14ac:dyDescent="0.25">
      <c r="B40" s="339" t="s">
        <v>320</v>
      </c>
      <c r="C40" s="338" t="s">
        <v>498</v>
      </c>
      <c r="D40" s="394" t="s">
        <v>312</v>
      </c>
      <c r="E40" s="35" t="s">
        <v>319</v>
      </c>
      <c r="F40" s="30">
        <f t="shared" si="0"/>
        <v>307</v>
      </c>
      <c r="G40" s="27">
        <v>227</v>
      </c>
      <c r="H40" s="27">
        <v>0</v>
      </c>
      <c r="I40" s="27">
        <v>0</v>
      </c>
      <c r="J40" s="27">
        <v>80</v>
      </c>
      <c r="K40" s="30">
        <f t="shared" si="1"/>
        <v>307</v>
      </c>
      <c r="L40" s="27">
        <v>227</v>
      </c>
      <c r="M40" s="27">
        <v>0</v>
      </c>
      <c r="N40" s="27">
        <v>0</v>
      </c>
      <c r="O40" s="27">
        <v>80</v>
      </c>
      <c r="P40" s="30">
        <f t="shared" si="2"/>
        <v>333</v>
      </c>
      <c r="Q40" s="27">
        <v>307</v>
      </c>
      <c r="R40" s="27">
        <v>0</v>
      </c>
      <c r="S40" s="27">
        <v>0</v>
      </c>
      <c r="T40" s="27">
        <v>26</v>
      </c>
      <c r="U40" s="30">
        <f t="shared" si="3"/>
        <v>26</v>
      </c>
      <c r="V40" s="27">
        <v>80</v>
      </c>
      <c r="W40" s="27">
        <v>0</v>
      </c>
      <c r="X40" s="27">
        <v>0</v>
      </c>
      <c r="Y40" s="31">
        <v>-54</v>
      </c>
      <c r="Z40" s="30">
        <f t="shared" si="5"/>
        <v>108.46905537459284</v>
      </c>
      <c r="AA40" s="27">
        <f t="shared" si="6"/>
        <v>135.24229074889868</v>
      </c>
      <c r="AB40" s="27" t="str">
        <f t="shared" si="7"/>
        <v xml:space="preserve"> </v>
      </c>
      <c r="AC40" s="27" t="str">
        <f t="shared" si="8"/>
        <v xml:space="preserve"> </v>
      </c>
      <c r="AD40" s="31">
        <f t="shared" si="9"/>
        <v>32.5</v>
      </c>
    </row>
    <row r="41" spans="2:30" ht="15" thickBot="1" x14ac:dyDescent="0.25">
      <c r="B41" s="339" t="s">
        <v>320</v>
      </c>
      <c r="C41" s="338" t="s">
        <v>505</v>
      </c>
      <c r="D41" s="394" t="s">
        <v>312</v>
      </c>
      <c r="E41" s="35" t="s">
        <v>319</v>
      </c>
      <c r="F41" s="30">
        <f t="shared" si="0"/>
        <v>237</v>
      </c>
      <c r="G41" s="27">
        <v>152</v>
      </c>
      <c r="H41" s="27">
        <v>0</v>
      </c>
      <c r="I41" s="27">
        <v>0</v>
      </c>
      <c r="J41" s="27">
        <v>85</v>
      </c>
      <c r="K41" s="30">
        <f t="shared" si="1"/>
        <v>237</v>
      </c>
      <c r="L41" s="27">
        <v>152</v>
      </c>
      <c r="M41" s="27">
        <v>0</v>
      </c>
      <c r="N41" s="27">
        <v>0</v>
      </c>
      <c r="O41" s="27">
        <v>85</v>
      </c>
      <c r="P41" s="30">
        <f t="shared" si="2"/>
        <v>195</v>
      </c>
      <c r="Q41" s="27">
        <v>153</v>
      </c>
      <c r="R41" s="27">
        <v>0</v>
      </c>
      <c r="S41" s="27">
        <v>0</v>
      </c>
      <c r="T41" s="27">
        <v>42</v>
      </c>
      <c r="U41" s="30">
        <f t="shared" si="3"/>
        <v>-42</v>
      </c>
      <c r="V41" s="27">
        <v>1</v>
      </c>
      <c r="W41" s="27">
        <v>0</v>
      </c>
      <c r="X41" s="27">
        <v>0</v>
      </c>
      <c r="Y41" s="31">
        <v>-43</v>
      </c>
      <c r="Z41" s="30">
        <f t="shared" si="5"/>
        <v>82.278481012658233</v>
      </c>
      <c r="AA41" s="27">
        <f t="shared" si="6"/>
        <v>100.6578947368421</v>
      </c>
      <c r="AB41" s="27" t="str">
        <f t="shared" si="7"/>
        <v xml:space="preserve"> </v>
      </c>
      <c r="AC41" s="27" t="str">
        <f t="shared" si="8"/>
        <v xml:space="preserve"> </v>
      </c>
      <c r="AD41" s="31">
        <f t="shared" si="9"/>
        <v>49.411764705882355</v>
      </c>
    </row>
    <row r="42" spans="2:30" ht="15.75" thickBot="1" x14ac:dyDescent="0.25">
      <c r="B42" s="336" t="s">
        <v>320</v>
      </c>
      <c r="C42" s="335"/>
      <c r="D42" s="393" t="s">
        <v>312</v>
      </c>
      <c r="E42" s="333" t="s">
        <v>319</v>
      </c>
      <c r="F42" s="34">
        <f t="shared" si="0"/>
        <v>3894</v>
      </c>
      <c r="G42" s="331">
        <f>SUM(G39:G41)</f>
        <v>2689</v>
      </c>
      <c r="H42" s="331">
        <f>SUM(H39:H41)</f>
        <v>250</v>
      </c>
      <c r="I42" s="331">
        <f>SUM(I39:I41)</f>
        <v>0</v>
      </c>
      <c r="J42" s="331">
        <f>SUM(J39:J41)</f>
        <v>955</v>
      </c>
      <c r="K42" s="34">
        <f t="shared" si="1"/>
        <v>3894</v>
      </c>
      <c r="L42" s="331">
        <f>SUM(L39:L41)</f>
        <v>2689</v>
      </c>
      <c r="M42" s="331">
        <f>SUM(M39:M41)</f>
        <v>250</v>
      </c>
      <c r="N42" s="331">
        <f>SUM(N39:N41)</f>
        <v>0</v>
      </c>
      <c r="O42" s="331">
        <f>SUM(O39:O41)</f>
        <v>955</v>
      </c>
      <c r="P42" s="34">
        <f t="shared" si="2"/>
        <v>3899</v>
      </c>
      <c r="Q42" s="331">
        <f>SUM(Q39:Q41)</f>
        <v>2554</v>
      </c>
      <c r="R42" s="331">
        <f>SUM(R39:R41)</f>
        <v>250</v>
      </c>
      <c r="S42" s="331">
        <f>SUM(S39:S41)</f>
        <v>0</v>
      </c>
      <c r="T42" s="331">
        <f>SUM(T39:T41)</f>
        <v>1095</v>
      </c>
      <c r="U42" s="34">
        <f t="shared" si="3"/>
        <v>5</v>
      </c>
      <c r="V42" s="331">
        <f>SUM(V39:V41)</f>
        <v>-135</v>
      </c>
      <c r="W42" s="331">
        <f>SUM(W39:W41)</f>
        <v>0</v>
      </c>
      <c r="X42" s="331">
        <f>SUM(X39:X41)</f>
        <v>0</v>
      </c>
      <c r="Y42" s="330">
        <f>SUM(Y39:Y41)</f>
        <v>140</v>
      </c>
      <c r="Z42" s="34">
        <f t="shared" si="5"/>
        <v>100.12840267077556</v>
      </c>
      <c r="AA42" s="331">
        <f t="shared" si="6"/>
        <v>94.979546299739681</v>
      </c>
      <c r="AB42" s="331">
        <f t="shared" si="7"/>
        <v>100</v>
      </c>
      <c r="AC42" s="331" t="str">
        <f t="shared" si="8"/>
        <v xml:space="preserve"> </v>
      </c>
      <c r="AD42" s="330">
        <f t="shared" si="9"/>
        <v>114.65968586387434</v>
      </c>
    </row>
    <row r="43" spans="2:30" ht="15" thickBot="1" x14ac:dyDescent="0.25">
      <c r="B43" s="339" t="s">
        <v>318</v>
      </c>
      <c r="C43" s="338" t="s">
        <v>502</v>
      </c>
      <c r="D43" s="394" t="s">
        <v>312</v>
      </c>
      <c r="E43" s="35" t="s">
        <v>317</v>
      </c>
      <c r="F43" s="30">
        <f t="shared" si="0"/>
        <v>181</v>
      </c>
      <c r="G43" s="27">
        <v>151</v>
      </c>
      <c r="H43" s="27">
        <v>0</v>
      </c>
      <c r="I43" s="27">
        <v>0</v>
      </c>
      <c r="J43" s="27">
        <v>30</v>
      </c>
      <c r="K43" s="30">
        <f t="shared" si="1"/>
        <v>181</v>
      </c>
      <c r="L43" s="27">
        <v>151</v>
      </c>
      <c r="M43" s="27">
        <v>0</v>
      </c>
      <c r="N43" s="27">
        <v>0</v>
      </c>
      <c r="O43" s="27">
        <v>30</v>
      </c>
      <c r="P43" s="30">
        <f t="shared" si="2"/>
        <v>171</v>
      </c>
      <c r="Q43" s="27">
        <v>143</v>
      </c>
      <c r="R43" s="27">
        <v>0</v>
      </c>
      <c r="S43" s="27">
        <v>0</v>
      </c>
      <c r="T43" s="27">
        <v>28</v>
      </c>
      <c r="U43" s="30">
        <f t="shared" si="3"/>
        <v>-10</v>
      </c>
      <c r="V43" s="27">
        <v>-8</v>
      </c>
      <c r="W43" s="27">
        <v>0</v>
      </c>
      <c r="X43" s="27">
        <v>0</v>
      </c>
      <c r="Y43" s="31">
        <v>-2</v>
      </c>
      <c r="Z43" s="30">
        <f t="shared" si="5"/>
        <v>94.475138121546962</v>
      </c>
      <c r="AA43" s="27">
        <f t="shared" si="6"/>
        <v>94.701986754966882</v>
      </c>
      <c r="AB43" s="27" t="str">
        <f t="shared" si="7"/>
        <v xml:space="preserve"> </v>
      </c>
      <c r="AC43" s="27" t="str">
        <f t="shared" si="8"/>
        <v xml:space="preserve"> </v>
      </c>
      <c r="AD43" s="31">
        <f t="shared" si="9"/>
        <v>93.333333333333329</v>
      </c>
    </row>
    <row r="44" spans="2:30" ht="15.75" thickBot="1" x14ac:dyDescent="0.25">
      <c r="B44" s="336" t="s">
        <v>318</v>
      </c>
      <c r="C44" s="335"/>
      <c r="D44" s="393" t="s">
        <v>312</v>
      </c>
      <c r="E44" s="333" t="s">
        <v>317</v>
      </c>
      <c r="F44" s="34">
        <f t="shared" si="0"/>
        <v>181</v>
      </c>
      <c r="G44" s="331">
        <f>G43</f>
        <v>151</v>
      </c>
      <c r="H44" s="331">
        <f>H43</f>
        <v>0</v>
      </c>
      <c r="I44" s="331">
        <f>I43</f>
        <v>0</v>
      </c>
      <c r="J44" s="331">
        <f>J43</f>
        <v>30</v>
      </c>
      <c r="K44" s="34">
        <f t="shared" si="1"/>
        <v>181</v>
      </c>
      <c r="L44" s="331">
        <f>L43</f>
        <v>151</v>
      </c>
      <c r="M44" s="331">
        <f>M43</f>
        <v>0</v>
      </c>
      <c r="N44" s="331">
        <f>N43</f>
        <v>0</v>
      </c>
      <c r="O44" s="331">
        <f>O43</f>
        <v>30</v>
      </c>
      <c r="P44" s="34">
        <f t="shared" si="2"/>
        <v>171</v>
      </c>
      <c r="Q44" s="331">
        <f>Q43</f>
        <v>143</v>
      </c>
      <c r="R44" s="331">
        <f>R43</f>
        <v>0</v>
      </c>
      <c r="S44" s="331">
        <f>S43</f>
        <v>0</v>
      </c>
      <c r="T44" s="331">
        <f>T43</f>
        <v>28</v>
      </c>
      <c r="U44" s="34">
        <f t="shared" si="3"/>
        <v>-10</v>
      </c>
      <c r="V44" s="331">
        <f>V43</f>
        <v>-8</v>
      </c>
      <c r="W44" s="331">
        <f>W43</f>
        <v>0</v>
      </c>
      <c r="X44" s="331">
        <f>X43</f>
        <v>0</v>
      </c>
      <c r="Y44" s="330">
        <f>Y43</f>
        <v>-2</v>
      </c>
      <c r="Z44" s="34">
        <f t="shared" si="5"/>
        <v>94.475138121546962</v>
      </c>
      <c r="AA44" s="331">
        <f t="shared" si="6"/>
        <v>94.701986754966882</v>
      </c>
      <c r="AB44" s="331" t="str">
        <f t="shared" si="7"/>
        <v xml:space="preserve"> </v>
      </c>
      <c r="AC44" s="331" t="str">
        <f t="shared" si="8"/>
        <v xml:space="preserve"> </v>
      </c>
      <c r="AD44" s="330">
        <f t="shared" si="9"/>
        <v>93.333333333333329</v>
      </c>
    </row>
    <row r="45" spans="2:30" ht="26.25" thickBot="1" x14ac:dyDescent="0.25">
      <c r="B45" s="339" t="s">
        <v>316</v>
      </c>
      <c r="C45" s="338" t="s">
        <v>502</v>
      </c>
      <c r="D45" s="394" t="s">
        <v>312</v>
      </c>
      <c r="E45" s="35" t="s">
        <v>529</v>
      </c>
      <c r="F45" s="30">
        <f t="shared" si="0"/>
        <v>140</v>
      </c>
      <c r="G45" s="27">
        <v>99</v>
      </c>
      <c r="H45" s="27">
        <v>0</v>
      </c>
      <c r="I45" s="27">
        <v>0</v>
      </c>
      <c r="J45" s="27">
        <v>41</v>
      </c>
      <c r="K45" s="30">
        <f t="shared" si="1"/>
        <v>140</v>
      </c>
      <c r="L45" s="27">
        <v>99</v>
      </c>
      <c r="M45" s="27">
        <v>0</v>
      </c>
      <c r="N45" s="27">
        <v>0</v>
      </c>
      <c r="O45" s="27">
        <v>41</v>
      </c>
      <c r="P45" s="30">
        <f t="shared" si="2"/>
        <v>141</v>
      </c>
      <c r="Q45" s="27">
        <v>94</v>
      </c>
      <c r="R45" s="27">
        <v>0</v>
      </c>
      <c r="S45" s="27">
        <v>0</v>
      </c>
      <c r="T45" s="27">
        <v>47</v>
      </c>
      <c r="U45" s="30">
        <f t="shared" si="3"/>
        <v>1</v>
      </c>
      <c r="V45" s="27">
        <v>-5</v>
      </c>
      <c r="W45" s="27">
        <v>0</v>
      </c>
      <c r="X45" s="27">
        <v>0</v>
      </c>
      <c r="Y45" s="31">
        <v>6</v>
      </c>
      <c r="Z45" s="30">
        <f t="shared" si="5"/>
        <v>100.71428571428571</v>
      </c>
      <c r="AA45" s="27">
        <f t="shared" si="6"/>
        <v>94.949494949494948</v>
      </c>
      <c r="AB45" s="27" t="str">
        <f t="shared" si="7"/>
        <v xml:space="preserve"> </v>
      </c>
      <c r="AC45" s="27" t="str">
        <f t="shared" si="8"/>
        <v xml:space="preserve"> </v>
      </c>
      <c r="AD45" s="31">
        <f t="shared" si="9"/>
        <v>114.63414634146341</v>
      </c>
    </row>
    <row r="46" spans="2:30" ht="26.25" thickBot="1" x14ac:dyDescent="0.25">
      <c r="B46" s="336" t="s">
        <v>316</v>
      </c>
      <c r="C46" s="335"/>
      <c r="D46" s="393" t="s">
        <v>312</v>
      </c>
      <c r="E46" s="333" t="s">
        <v>529</v>
      </c>
      <c r="F46" s="34">
        <f t="shared" si="0"/>
        <v>140</v>
      </c>
      <c r="G46" s="331">
        <f>G45</f>
        <v>99</v>
      </c>
      <c r="H46" s="331">
        <f>H45</f>
        <v>0</v>
      </c>
      <c r="I46" s="331">
        <f>I45</f>
        <v>0</v>
      </c>
      <c r="J46" s="331">
        <f>J45</f>
        <v>41</v>
      </c>
      <c r="K46" s="34">
        <f t="shared" si="1"/>
        <v>140</v>
      </c>
      <c r="L46" s="331">
        <f>L45</f>
        <v>99</v>
      </c>
      <c r="M46" s="331">
        <f>M45</f>
        <v>0</v>
      </c>
      <c r="N46" s="331">
        <f>N45</f>
        <v>0</v>
      </c>
      <c r="O46" s="331">
        <f>O45</f>
        <v>41</v>
      </c>
      <c r="P46" s="34">
        <f t="shared" si="2"/>
        <v>141</v>
      </c>
      <c r="Q46" s="331">
        <f>Q45</f>
        <v>94</v>
      </c>
      <c r="R46" s="331">
        <f>R45</f>
        <v>0</v>
      </c>
      <c r="S46" s="331">
        <f>S45</f>
        <v>0</v>
      </c>
      <c r="T46" s="331">
        <f>T45</f>
        <v>47</v>
      </c>
      <c r="U46" s="34">
        <f t="shared" si="3"/>
        <v>1</v>
      </c>
      <c r="V46" s="331">
        <f>V45</f>
        <v>-5</v>
      </c>
      <c r="W46" s="331">
        <f>W45</f>
        <v>0</v>
      </c>
      <c r="X46" s="331">
        <f>X45</f>
        <v>0</v>
      </c>
      <c r="Y46" s="330">
        <f>Y45</f>
        <v>6</v>
      </c>
      <c r="Z46" s="34">
        <f t="shared" si="5"/>
        <v>100.71428571428571</v>
      </c>
      <c r="AA46" s="331">
        <f t="shared" si="6"/>
        <v>94.949494949494948</v>
      </c>
      <c r="AB46" s="331" t="str">
        <f t="shared" si="7"/>
        <v xml:space="preserve"> </v>
      </c>
      <c r="AC46" s="331" t="str">
        <f t="shared" si="8"/>
        <v xml:space="preserve"> </v>
      </c>
      <c r="AD46" s="330">
        <f t="shared" si="9"/>
        <v>114.63414634146341</v>
      </c>
    </row>
    <row r="47" spans="2:30" ht="15" thickBot="1" x14ac:dyDescent="0.25">
      <c r="B47" s="339" t="s">
        <v>315</v>
      </c>
      <c r="C47" s="338" t="s">
        <v>500</v>
      </c>
      <c r="D47" s="394" t="s">
        <v>312</v>
      </c>
      <c r="E47" s="35" t="s">
        <v>314</v>
      </c>
      <c r="F47" s="30">
        <f t="shared" si="0"/>
        <v>1652</v>
      </c>
      <c r="G47" s="27">
        <v>1499</v>
      </c>
      <c r="H47" s="27">
        <v>0</v>
      </c>
      <c r="I47" s="27">
        <v>0</v>
      </c>
      <c r="J47" s="27">
        <v>153</v>
      </c>
      <c r="K47" s="30">
        <f t="shared" si="1"/>
        <v>1652</v>
      </c>
      <c r="L47" s="27">
        <v>1499</v>
      </c>
      <c r="M47" s="27">
        <v>0</v>
      </c>
      <c r="N47" s="27">
        <v>0</v>
      </c>
      <c r="O47" s="27">
        <v>153</v>
      </c>
      <c r="P47" s="30">
        <f t="shared" si="2"/>
        <v>1577</v>
      </c>
      <c r="Q47" s="27">
        <v>1424</v>
      </c>
      <c r="R47" s="27">
        <v>0</v>
      </c>
      <c r="S47" s="27">
        <v>0</v>
      </c>
      <c r="T47" s="27">
        <v>153</v>
      </c>
      <c r="U47" s="30">
        <f t="shared" si="3"/>
        <v>-75</v>
      </c>
      <c r="V47" s="27">
        <v>-75</v>
      </c>
      <c r="W47" s="27">
        <v>0</v>
      </c>
      <c r="X47" s="27">
        <v>0</v>
      </c>
      <c r="Y47" s="31">
        <v>0</v>
      </c>
      <c r="Z47" s="30">
        <f t="shared" si="5"/>
        <v>95.460048426150124</v>
      </c>
      <c r="AA47" s="27">
        <f t="shared" si="6"/>
        <v>94.996664442961972</v>
      </c>
      <c r="AB47" s="27" t="str">
        <f t="shared" si="7"/>
        <v xml:space="preserve"> </v>
      </c>
      <c r="AC47" s="27" t="str">
        <f t="shared" si="8"/>
        <v xml:space="preserve"> </v>
      </c>
      <c r="AD47" s="31">
        <f t="shared" si="9"/>
        <v>100</v>
      </c>
    </row>
    <row r="48" spans="2:30" ht="15.75" thickBot="1" x14ac:dyDescent="0.25">
      <c r="B48" s="336" t="s">
        <v>315</v>
      </c>
      <c r="C48" s="335"/>
      <c r="D48" s="393" t="s">
        <v>312</v>
      </c>
      <c r="E48" s="333" t="s">
        <v>314</v>
      </c>
      <c r="F48" s="34">
        <f t="shared" si="0"/>
        <v>1652</v>
      </c>
      <c r="G48" s="331">
        <f>G47</f>
        <v>1499</v>
      </c>
      <c r="H48" s="331">
        <f>H47</f>
        <v>0</v>
      </c>
      <c r="I48" s="331">
        <f>I47</f>
        <v>0</v>
      </c>
      <c r="J48" s="331">
        <f>J47</f>
        <v>153</v>
      </c>
      <c r="K48" s="34">
        <f t="shared" si="1"/>
        <v>1652</v>
      </c>
      <c r="L48" s="331">
        <f>L47</f>
        <v>1499</v>
      </c>
      <c r="M48" s="331">
        <f>M47</f>
        <v>0</v>
      </c>
      <c r="N48" s="331">
        <f>N47</f>
        <v>0</v>
      </c>
      <c r="O48" s="331">
        <f>O47</f>
        <v>153</v>
      </c>
      <c r="P48" s="34">
        <f t="shared" si="2"/>
        <v>1577</v>
      </c>
      <c r="Q48" s="331">
        <f>Q47</f>
        <v>1424</v>
      </c>
      <c r="R48" s="331">
        <f>R47</f>
        <v>0</v>
      </c>
      <c r="S48" s="331">
        <f>S47</f>
        <v>0</v>
      </c>
      <c r="T48" s="331">
        <f>T47</f>
        <v>153</v>
      </c>
      <c r="U48" s="34">
        <f t="shared" si="3"/>
        <v>-75</v>
      </c>
      <c r="V48" s="331">
        <f>V47</f>
        <v>-75</v>
      </c>
      <c r="W48" s="331">
        <f>W47</f>
        <v>0</v>
      </c>
      <c r="X48" s="331">
        <f>X47</f>
        <v>0</v>
      </c>
      <c r="Y48" s="330">
        <f>Y47</f>
        <v>0</v>
      </c>
      <c r="Z48" s="34">
        <f t="shared" si="5"/>
        <v>95.460048426150124</v>
      </c>
      <c r="AA48" s="331">
        <f t="shared" si="6"/>
        <v>94.996664442961972</v>
      </c>
      <c r="AB48" s="331" t="str">
        <f t="shared" si="7"/>
        <v xml:space="preserve"> </v>
      </c>
      <c r="AC48" s="331" t="str">
        <f t="shared" si="8"/>
        <v xml:space="preserve"> </v>
      </c>
      <c r="AD48" s="330">
        <f t="shared" si="9"/>
        <v>100</v>
      </c>
    </row>
    <row r="49" spans="2:30" ht="15" thickBot="1" x14ac:dyDescent="0.25">
      <c r="B49" s="339" t="s">
        <v>313</v>
      </c>
      <c r="C49" s="338" t="s">
        <v>500</v>
      </c>
      <c r="D49" s="394" t="s">
        <v>312</v>
      </c>
      <c r="E49" s="35" t="s">
        <v>528</v>
      </c>
      <c r="F49" s="30">
        <f t="shared" si="0"/>
        <v>1853</v>
      </c>
      <c r="G49" s="27">
        <v>1853</v>
      </c>
      <c r="H49" s="27">
        <v>0</v>
      </c>
      <c r="I49" s="27">
        <v>0</v>
      </c>
      <c r="J49" s="27">
        <v>0</v>
      </c>
      <c r="K49" s="30">
        <f t="shared" si="1"/>
        <v>1853</v>
      </c>
      <c r="L49" s="27">
        <v>1853</v>
      </c>
      <c r="M49" s="27">
        <v>0</v>
      </c>
      <c r="N49" s="27">
        <v>0</v>
      </c>
      <c r="O49" s="27">
        <v>0</v>
      </c>
      <c r="P49" s="30">
        <f t="shared" si="2"/>
        <v>1760</v>
      </c>
      <c r="Q49" s="27">
        <v>1760</v>
      </c>
      <c r="R49" s="27">
        <v>0</v>
      </c>
      <c r="S49" s="27">
        <v>0</v>
      </c>
      <c r="T49" s="27">
        <v>0</v>
      </c>
      <c r="U49" s="30">
        <f t="shared" si="3"/>
        <v>-93</v>
      </c>
      <c r="V49" s="27">
        <v>-93</v>
      </c>
      <c r="W49" s="27">
        <v>0</v>
      </c>
      <c r="X49" s="27">
        <v>0</v>
      </c>
      <c r="Y49" s="31">
        <v>0</v>
      </c>
      <c r="Z49" s="30">
        <f t="shared" si="5"/>
        <v>94.981111710739341</v>
      </c>
      <c r="AA49" s="27">
        <f t="shared" si="6"/>
        <v>94.981111710739341</v>
      </c>
      <c r="AB49" s="27" t="str">
        <f t="shared" si="7"/>
        <v xml:space="preserve"> </v>
      </c>
      <c r="AC49" s="27" t="str">
        <f t="shared" si="8"/>
        <v xml:space="preserve"> </v>
      </c>
      <c r="AD49" s="31" t="str">
        <f t="shared" si="9"/>
        <v xml:space="preserve"> </v>
      </c>
    </row>
    <row r="50" spans="2:30" ht="15.75" thickBot="1" x14ac:dyDescent="0.25">
      <c r="B50" s="336" t="s">
        <v>313</v>
      </c>
      <c r="C50" s="335"/>
      <c r="D50" s="393" t="s">
        <v>312</v>
      </c>
      <c r="E50" s="333" t="s">
        <v>528</v>
      </c>
      <c r="F50" s="34">
        <f t="shared" si="0"/>
        <v>1853</v>
      </c>
      <c r="G50" s="331">
        <f>G49</f>
        <v>1853</v>
      </c>
      <c r="H50" s="331">
        <f>H49</f>
        <v>0</v>
      </c>
      <c r="I50" s="331">
        <f>I49</f>
        <v>0</v>
      </c>
      <c r="J50" s="331">
        <f>J49</f>
        <v>0</v>
      </c>
      <c r="K50" s="34">
        <f t="shared" si="1"/>
        <v>1853</v>
      </c>
      <c r="L50" s="331">
        <f>L49</f>
        <v>1853</v>
      </c>
      <c r="M50" s="331">
        <f>M49</f>
        <v>0</v>
      </c>
      <c r="N50" s="331">
        <f>N49</f>
        <v>0</v>
      </c>
      <c r="O50" s="331">
        <f>O49</f>
        <v>0</v>
      </c>
      <c r="P50" s="34">
        <f t="shared" si="2"/>
        <v>1760</v>
      </c>
      <c r="Q50" s="331">
        <f>Q49</f>
        <v>1760</v>
      </c>
      <c r="R50" s="331">
        <f>R49</f>
        <v>0</v>
      </c>
      <c r="S50" s="331">
        <f>S49</f>
        <v>0</v>
      </c>
      <c r="T50" s="331">
        <f>T49</f>
        <v>0</v>
      </c>
      <c r="U50" s="34">
        <f t="shared" si="3"/>
        <v>-93</v>
      </c>
      <c r="V50" s="331">
        <f>V49</f>
        <v>-93</v>
      </c>
      <c r="W50" s="331">
        <f>W49</f>
        <v>0</v>
      </c>
      <c r="X50" s="331">
        <f>X49</f>
        <v>0</v>
      </c>
      <c r="Y50" s="330">
        <f>Y49</f>
        <v>0</v>
      </c>
      <c r="Z50" s="34">
        <f t="shared" si="5"/>
        <v>94.981111710739341</v>
      </c>
      <c r="AA50" s="331">
        <f t="shared" si="6"/>
        <v>94.981111710739341</v>
      </c>
      <c r="AB50" s="331" t="str">
        <f t="shared" si="7"/>
        <v xml:space="preserve"> </v>
      </c>
      <c r="AC50" s="331" t="str">
        <f t="shared" si="8"/>
        <v xml:space="preserve"> </v>
      </c>
      <c r="AD50" s="330" t="str">
        <f t="shared" si="9"/>
        <v xml:space="preserve"> </v>
      </c>
    </row>
    <row r="51" spans="2:30" ht="15.75" thickBot="1" x14ac:dyDescent="0.25">
      <c r="B51" s="716" t="s">
        <v>625</v>
      </c>
      <c r="C51" s="717"/>
      <c r="D51" s="32"/>
      <c r="E51" s="392" t="s">
        <v>311</v>
      </c>
      <c r="F51" s="34">
        <f t="shared" ref="F51:Y51" si="10">F50+F48+F46+F44+F42+F38+F34+F30+F27+F22+F18+F15+F20</f>
        <v>34016</v>
      </c>
      <c r="G51" s="399">
        <f t="shared" si="10"/>
        <v>24542</v>
      </c>
      <c r="H51" s="399">
        <f t="shared" si="10"/>
        <v>530</v>
      </c>
      <c r="I51" s="399">
        <f t="shared" si="10"/>
        <v>0</v>
      </c>
      <c r="J51" s="399">
        <f t="shared" si="10"/>
        <v>8944</v>
      </c>
      <c r="K51" s="34">
        <f t="shared" si="10"/>
        <v>34016</v>
      </c>
      <c r="L51" s="399">
        <f t="shared" si="10"/>
        <v>24535.25</v>
      </c>
      <c r="M51" s="399">
        <f t="shared" si="10"/>
        <v>536.75</v>
      </c>
      <c r="N51" s="399">
        <f t="shared" si="10"/>
        <v>0</v>
      </c>
      <c r="O51" s="399">
        <f t="shared" si="10"/>
        <v>8944</v>
      </c>
      <c r="P51" s="34">
        <f t="shared" si="10"/>
        <v>32965</v>
      </c>
      <c r="Q51" s="399">
        <f t="shared" si="10"/>
        <v>23498</v>
      </c>
      <c r="R51" s="399">
        <f t="shared" si="10"/>
        <v>530</v>
      </c>
      <c r="S51" s="399">
        <f t="shared" si="10"/>
        <v>0</v>
      </c>
      <c r="T51" s="399">
        <f t="shared" si="10"/>
        <v>8937</v>
      </c>
      <c r="U51" s="34">
        <f t="shared" si="10"/>
        <v>-1051</v>
      </c>
      <c r="V51" s="399">
        <f t="shared" si="10"/>
        <v>-1044</v>
      </c>
      <c r="W51" s="399">
        <f t="shared" si="10"/>
        <v>0</v>
      </c>
      <c r="X51" s="399">
        <f t="shared" si="10"/>
        <v>0</v>
      </c>
      <c r="Y51" s="398">
        <f t="shared" si="10"/>
        <v>-7</v>
      </c>
      <c r="Z51" s="34">
        <f t="shared" si="5"/>
        <v>96.910277516462841</v>
      </c>
      <c r="AA51" s="399">
        <f t="shared" si="6"/>
        <v>95.746067965121014</v>
      </c>
      <c r="AB51" s="399">
        <f t="shared" si="7"/>
        <v>100</v>
      </c>
      <c r="AC51" s="399" t="str">
        <f t="shared" si="8"/>
        <v xml:space="preserve"> </v>
      </c>
      <c r="AD51" s="398">
        <f t="shared" si="9"/>
        <v>99.921735241502688</v>
      </c>
    </row>
  </sheetData>
  <mergeCells count="12">
    <mergeCell ref="Z9:AD9"/>
    <mergeCell ref="AA13:AD13"/>
    <mergeCell ref="B51:C51"/>
    <mergeCell ref="F9:J9"/>
    <mergeCell ref="K9:O9"/>
    <mergeCell ref="P9:T9"/>
    <mergeCell ref="U9:Y9"/>
    <mergeCell ref="B10:C10"/>
    <mergeCell ref="G13:J13"/>
    <mergeCell ref="L13:O13"/>
    <mergeCell ref="Q13:T13"/>
    <mergeCell ref="V13:Y13"/>
  </mergeCells>
  <pageMargins left="0.70866141732283472" right="0.70866141732283472" top="0.78740157480314965" bottom="0.78740157480314965" header="0.31496062992125984" footer="0.31496062992125984"/>
  <pageSetup paperSize="9" scale="47"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K32"/>
  <sheetViews>
    <sheetView showGridLines="0" topLeftCell="A2" zoomScaleNormal="100" workbookViewId="0">
      <selection activeCell="C13" sqref="C13"/>
    </sheetView>
  </sheetViews>
  <sheetFormatPr defaultRowHeight="12.75" x14ac:dyDescent="0.2"/>
  <cols>
    <col min="1" max="1" width="0.140625" style="39" customWidth="1"/>
    <col min="2" max="2" width="46.28515625" style="39" customWidth="1"/>
    <col min="3" max="11" width="12.7109375" style="39" customWidth="1"/>
    <col min="12" max="14" width="12.7109375" style="39" hidden="1" customWidth="1"/>
    <col min="15" max="17" width="12.7109375" style="39" customWidth="1"/>
    <col min="18" max="16384" width="9.140625" style="39"/>
  </cols>
  <sheetData>
    <row r="1" spans="2:17" hidden="1" x14ac:dyDescent="0.2">
      <c r="F1"/>
      <c r="G1"/>
      <c r="H1" s="663"/>
      <c r="I1" s="663"/>
      <c r="J1" s="664"/>
      <c r="K1" s="660"/>
    </row>
    <row r="2" spans="2:17" ht="23.25" x14ac:dyDescent="0.35">
      <c r="B2" s="203" t="s">
        <v>118</v>
      </c>
      <c r="C2" s="63"/>
      <c r="D2" s="63"/>
      <c r="E2" s="63"/>
      <c r="F2" s="220"/>
      <c r="G2"/>
      <c r="H2" s="663"/>
      <c r="I2" s="663"/>
      <c r="J2" s="665"/>
      <c r="K2" s="660"/>
      <c r="L2" s="63"/>
      <c r="M2" s="62"/>
      <c r="N2" s="61" t="s">
        <v>117</v>
      </c>
      <c r="O2" s="63"/>
      <c r="P2" s="62"/>
      <c r="Q2" s="61" t="s">
        <v>117</v>
      </c>
    </row>
    <row r="3" spans="2:17" ht="15" x14ac:dyDescent="0.2">
      <c r="B3" s="202" t="s">
        <v>553</v>
      </c>
      <c r="F3" s="220"/>
      <c r="G3"/>
      <c r="H3"/>
      <c r="I3" s="199"/>
      <c r="J3" s="199"/>
      <c r="K3" s="222"/>
      <c r="L3" s="631"/>
      <c r="M3" s="631"/>
      <c r="N3" s="631"/>
      <c r="O3" s="631"/>
      <c r="P3" s="631"/>
      <c r="Q3" s="631"/>
    </row>
    <row r="4" spans="2:17" ht="15" x14ac:dyDescent="0.2">
      <c r="B4" s="202" t="s">
        <v>436</v>
      </c>
      <c r="F4" s="220"/>
      <c r="G4"/>
      <c r="H4"/>
      <c r="I4" s="199"/>
      <c r="J4" s="199"/>
      <c r="K4" s="222"/>
      <c r="L4" s="720" t="s">
        <v>5</v>
      </c>
      <c r="M4" s="721"/>
      <c r="N4" s="721"/>
      <c r="O4" s="720" t="s">
        <v>5</v>
      </c>
      <c r="P4" s="721"/>
      <c r="Q4" s="721"/>
    </row>
    <row r="5" spans="2:17" ht="7.5" customHeight="1" thickBot="1" x14ac:dyDescent="0.25">
      <c r="F5" s="219"/>
      <c r="G5" s="219"/>
      <c r="H5" s="219"/>
      <c r="I5" s="221"/>
      <c r="J5" s="221"/>
      <c r="K5" s="223"/>
      <c r="L5" s="722"/>
      <c r="M5" s="722"/>
      <c r="N5" s="722"/>
      <c r="O5" s="722"/>
      <c r="P5" s="722"/>
      <c r="Q5" s="722"/>
    </row>
    <row r="6" spans="2:17" ht="26.1" customHeight="1" x14ac:dyDescent="0.2">
      <c r="B6" s="502"/>
      <c r="C6" s="666" t="s">
        <v>548</v>
      </c>
      <c r="D6" s="667"/>
      <c r="E6" s="667"/>
      <c r="F6" s="666" t="s">
        <v>549</v>
      </c>
      <c r="G6" s="667"/>
      <c r="H6" s="667"/>
      <c r="I6" s="666" t="s">
        <v>558</v>
      </c>
      <c r="J6" s="667"/>
      <c r="K6" s="667"/>
      <c r="L6" s="666" t="s">
        <v>6</v>
      </c>
      <c r="M6" s="667"/>
      <c r="N6" s="668"/>
      <c r="O6" s="666" t="s">
        <v>633</v>
      </c>
      <c r="P6" s="667"/>
      <c r="Q6" s="668"/>
    </row>
    <row r="7" spans="2:17" x14ac:dyDescent="0.2">
      <c r="B7" s="639" t="s">
        <v>66</v>
      </c>
      <c r="C7" s="641" t="s">
        <v>65</v>
      </c>
      <c r="D7" s="637" t="s">
        <v>10</v>
      </c>
      <c r="E7" s="652"/>
      <c r="F7" s="641" t="s">
        <v>65</v>
      </c>
      <c r="G7" s="637" t="s">
        <v>10</v>
      </c>
      <c r="H7" s="652"/>
      <c r="I7" s="641" t="s">
        <v>65</v>
      </c>
      <c r="J7" s="637" t="s">
        <v>10</v>
      </c>
      <c r="K7" s="652"/>
      <c r="L7" s="643" t="s">
        <v>65</v>
      </c>
      <c r="M7" s="637" t="s">
        <v>10</v>
      </c>
      <c r="N7" s="669"/>
      <c r="O7" s="643" t="s">
        <v>65</v>
      </c>
      <c r="P7" s="637" t="s">
        <v>10</v>
      </c>
      <c r="Q7" s="669"/>
    </row>
    <row r="8" spans="2:17" ht="39" thickBot="1" x14ac:dyDescent="0.25">
      <c r="B8" s="640"/>
      <c r="C8" s="642"/>
      <c r="D8" s="503" t="s">
        <v>64</v>
      </c>
      <c r="E8" s="503" t="s">
        <v>63</v>
      </c>
      <c r="F8" s="642"/>
      <c r="G8" s="503" t="s">
        <v>64</v>
      </c>
      <c r="H8" s="503" t="s">
        <v>63</v>
      </c>
      <c r="I8" s="642"/>
      <c r="J8" s="503" t="s">
        <v>64</v>
      </c>
      <c r="K8" s="503" t="s">
        <v>63</v>
      </c>
      <c r="L8" s="644"/>
      <c r="M8" s="504" t="s">
        <v>64</v>
      </c>
      <c r="N8" s="505" t="s">
        <v>63</v>
      </c>
      <c r="O8" s="644"/>
      <c r="P8" s="504" t="s">
        <v>64</v>
      </c>
      <c r="Q8" s="505" t="s">
        <v>63</v>
      </c>
    </row>
    <row r="9" spans="2:17" ht="14.25" thickTop="1" thickBot="1" x14ac:dyDescent="0.25">
      <c r="B9" s="473"/>
      <c r="C9" s="474" t="s">
        <v>62</v>
      </c>
      <c r="D9" s="475" t="s">
        <v>61</v>
      </c>
      <c r="E9" s="475" t="s">
        <v>60</v>
      </c>
      <c r="F9" s="474" t="s">
        <v>59</v>
      </c>
      <c r="G9" s="475" t="s">
        <v>58</v>
      </c>
      <c r="H9" s="475" t="s">
        <v>57</v>
      </c>
      <c r="I9" s="474" t="s">
        <v>56</v>
      </c>
      <c r="J9" s="475" t="s">
        <v>55</v>
      </c>
      <c r="K9" s="475" t="s">
        <v>54</v>
      </c>
      <c r="L9" s="474" t="s">
        <v>53</v>
      </c>
      <c r="M9" s="475" t="s">
        <v>52</v>
      </c>
      <c r="N9" s="506" t="s">
        <v>51</v>
      </c>
      <c r="O9" s="474" t="s">
        <v>634</v>
      </c>
      <c r="P9" s="475" t="s">
        <v>635</v>
      </c>
      <c r="Q9" s="506" t="s">
        <v>636</v>
      </c>
    </row>
    <row r="10" spans="2:17" ht="15.95" customHeight="1" x14ac:dyDescent="0.25">
      <c r="B10" s="80" t="s">
        <v>50</v>
      </c>
      <c r="C10" s="81">
        <f>D10+E10</f>
        <v>171121</v>
      </c>
      <c r="D10" s="82">
        <f>SUM(D12:D14)</f>
        <v>171121</v>
      </c>
      <c r="E10" s="82">
        <f>SUM(E12:E14)</f>
        <v>0</v>
      </c>
      <c r="F10" s="81">
        <f>G10+H10</f>
        <v>190861</v>
      </c>
      <c r="G10" s="82">
        <f>SUM(G12:G14)</f>
        <v>190861</v>
      </c>
      <c r="H10" s="82">
        <f>SUM(H12:H14)</f>
        <v>0</v>
      </c>
      <c r="I10" s="81">
        <f>J10+K10</f>
        <v>145880</v>
      </c>
      <c r="J10" s="82">
        <f>SUM(J12:J14)</f>
        <v>145880</v>
      </c>
      <c r="K10" s="82">
        <f>SUM(K12:K14)</f>
        <v>0</v>
      </c>
      <c r="L10" s="81">
        <f>M10+N10</f>
        <v>-25241</v>
      </c>
      <c r="M10" s="82">
        <f>SUM(M12:M14)</f>
        <v>-25241</v>
      </c>
      <c r="N10" s="83">
        <f>SUM(N12:N14)</f>
        <v>0</v>
      </c>
      <c r="O10" s="568">
        <f>IF(I10=0," ",(IF(C10=0," ",I10/C10*100)))</f>
        <v>85.249618690867862</v>
      </c>
      <c r="P10" s="552">
        <f t="shared" ref="P10:Q10" si="0">IF(J10=0," ",(IF(D10=0," ",J10/D10*100)))</f>
        <v>85.249618690867862</v>
      </c>
      <c r="Q10" s="588" t="str">
        <f t="shared" si="0"/>
        <v xml:space="preserve"> </v>
      </c>
    </row>
    <row r="11" spans="2:17" x14ac:dyDescent="0.2">
      <c r="B11" s="56" t="s">
        <v>49</v>
      </c>
      <c r="C11" s="45"/>
      <c r="D11" s="44"/>
      <c r="E11" s="44"/>
      <c r="F11" s="45"/>
      <c r="G11" s="44"/>
      <c r="H11" s="44"/>
      <c r="I11" s="45"/>
      <c r="J11" s="44"/>
      <c r="K11" s="44"/>
      <c r="L11" s="45"/>
      <c r="M11" s="44"/>
      <c r="N11" s="43"/>
      <c r="O11" s="589"/>
      <c r="P11" s="590"/>
      <c r="Q11" s="591"/>
    </row>
    <row r="12" spans="2:17" ht="15.95" customHeight="1" x14ac:dyDescent="0.2">
      <c r="B12" s="56" t="s">
        <v>48</v>
      </c>
      <c r="C12" s="54">
        <f>D12+E12</f>
        <v>139485</v>
      </c>
      <c r="D12" s="55">
        <f>'PO - sociálníci'!G46-'PO - sociálníci'!G13</f>
        <v>139485</v>
      </c>
      <c r="E12" s="55">
        <v>0</v>
      </c>
      <c r="F12" s="54">
        <f>G12+H12</f>
        <v>159225</v>
      </c>
      <c r="G12" s="55">
        <f>'PO - sociálníci'!L46-'PO - sociálníci'!L13</f>
        <v>159225</v>
      </c>
      <c r="H12" s="55">
        <v>0</v>
      </c>
      <c r="I12" s="54">
        <f>J12+K12</f>
        <v>114306</v>
      </c>
      <c r="J12" s="55">
        <f>'PO - sociálníci'!Q46-'PO - sociálníci'!Q13</f>
        <v>114306</v>
      </c>
      <c r="K12" s="55">
        <v>0</v>
      </c>
      <c r="L12" s="54">
        <f>M12+N12</f>
        <v>-25179</v>
      </c>
      <c r="M12" s="55">
        <f t="shared" ref="M12:N16" si="1">J12-D12</f>
        <v>-25179</v>
      </c>
      <c r="N12" s="148">
        <f t="shared" si="1"/>
        <v>0</v>
      </c>
      <c r="O12" s="592">
        <f t="shared" ref="O12:O16" si="2">IF(I12=0," ",(IF(C12=0," ",I12/C12*100)))</f>
        <v>81.948596623292829</v>
      </c>
      <c r="P12" s="606">
        <f t="shared" ref="P12:P16" si="3">IF(J12=0," ",(IF(D12=0," ",J12/D12*100)))</f>
        <v>81.948596623292829</v>
      </c>
      <c r="Q12" s="612" t="str">
        <f t="shared" ref="Q12:Q16" si="4">IF(K12=0," ",(IF(E12=0," ",K12/E12*100)))</f>
        <v xml:space="preserve"> </v>
      </c>
    </row>
    <row r="13" spans="2:17" ht="15.95" customHeight="1" x14ac:dyDescent="0.2">
      <c r="B13" s="56" t="s">
        <v>47</v>
      </c>
      <c r="C13" s="54">
        <f>D13+E13</f>
        <v>0</v>
      </c>
      <c r="D13" s="55">
        <f>'PO - sociálníci'!H46-'PO - sociálníci'!H13</f>
        <v>0</v>
      </c>
      <c r="E13" s="55">
        <v>0</v>
      </c>
      <c r="F13" s="54">
        <f>G13+H13</f>
        <v>0</v>
      </c>
      <c r="G13" s="55">
        <f>'PO - sociálníci'!M46-'PO - sociálníci'!M13</f>
        <v>0</v>
      </c>
      <c r="H13" s="55">
        <v>0</v>
      </c>
      <c r="I13" s="54">
        <f>J13+K13</f>
        <v>0</v>
      </c>
      <c r="J13" s="55">
        <f>'PO - sociálníci'!R46-'PO - sociálníci'!R13</f>
        <v>0</v>
      </c>
      <c r="K13" s="55">
        <v>0</v>
      </c>
      <c r="L13" s="54">
        <f>M13+N13</f>
        <v>0</v>
      </c>
      <c r="M13" s="55">
        <f t="shared" si="1"/>
        <v>0</v>
      </c>
      <c r="N13" s="148">
        <f t="shared" si="1"/>
        <v>0</v>
      </c>
      <c r="O13" s="592" t="str">
        <f t="shared" si="2"/>
        <v xml:space="preserve"> </v>
      </c>
      <c r="P13" s="606" t="str">
        <f t="shared" si="3"/>
        <v xml:space="preserve"> </v>
      </c>
      <c r="Q13" s="612" t="str">
        <f t="shared" si="4"/>
        <v xml:space="preserve"> </v>
      </c>
    </row>
    <row r="14" spans="2:17" ht="15.95" customHeight="1" x14ac:dyDescent="0.2">
      <c r="B14" s="56" t="s">
        <v>45</v>
      </c>
      <c r="C14" s="54">
        <f>D14+E14</f>
        <v>31636</v>
      </c>
      <c r="D14" s="55">
        <f>'PO - sociálníci'!J46-'PO - sociálníci'!J13</f>
        <v>31636</v>
      </c>
      <c r="E14" s="55">
        <v>0</v>
      </c>
      <c r="F14" s="54">
        <f>G14+H14</f>
        <v>31636</v>
      </c>
      <c r="G14" s="55">
        <f>'PO - sociálníci'!O46-'PO - sociálníci'!O13</f>
        <v>31636</v>
      </c>
      <c r="H14" s="55">
        <v>0</v>
      </c>
      <c r="I14" s="54">
        <f>J14+K14</f>
        <v>31574</v>
      </c>
      <c r="J14" s="55">
        <f>'PO - sociálníci'!T46-'PO - sociálníci'!T13</f>
        <v>31574</v>
      </c>
      <c r="K14" s="55">
        <v>0</v>
      </c>
      <c r="L14" s="54">
        <f>M14+N14</f>
        <v>-62</v>
      </c>
      <c r="M14" s="55">
        <f t="shared" si="1"/>
        <v>-62</v>
      </c>
      <c r="N14" s="148">
        <f t="shared" si="1"/>
        <v>0</v>
      </c>
      <c r="O14" s="592">
        <f t="shared" si="2"/>
        <v>99.804020735870523</v>
      </c>
      <c r="P14" s="606">
        <f t="shared" si="3"/>
        <v>99.804020735870523</v>
      </c>
      <c r="Q14" s="612" t="str">
        <f t="shared" si="4"/>
        <v xml:space="preserve"> </v>
      </c>
    </row>
    <row r="15" spans="2:17" s="133" customFormat="1" ht="15.95" customHeight="1" x14ac:dyDescent="0.25">
      <c r="B15" s="85" t="s">
        <v>44</v>
      </c>
      <c r="C15" s="86">
        <f>D15+E15</f>
        <v>85125</v>
      </c>
      <c r="D15" s="87">
        <f>'PO - sociálníci'!G13</f>
        <v>85125</v>
      </c>
      <c r="E15" s="87">
        <v>0</v>
      </c>
      <c r="F15" s="86">
        <f>G15+H15</f>
        <v>72742</v>
      </c>
      <c r="G15" s="87">
        <f>'PO - sociálníci'!L13</f>
        <v>72742</v>
      </c>
      <c r="H15" s="87">
        <v>0</v>
      </c>
      <c r="I15" s="86">
        <f>J15+K15</f>
        <v>89120</v>
      </c>
      <c r="J15" s="87">
        <f>'PO - sociálníci'!Q13</f>
        <v>89120</v>
      </c>
      <c r="K15" s="87">
        <v>0</v>
      </c>
      <c r="L15" s="86">
        <f>M15+N15</f>
        <v>3995</v>
      </c>
      <c r="M15" s="87">
        <f t="shared" si="1"/>
        <v>3995</v>
      </c>
      <c r="N15" s="88">
        <f t="shared" si="1"/>
        <v>0</v>
      </c>
      <c r="O15" s="594">
        <f t="shared" si="2"/>
        <v>104.69309838472833</v>
      </c>
      <c r="P15" s="595">
        <f t="shared" si="3"/>
        <v>104.69309838472833</v>
      </c>
      <c r="Q15" s="596" t="str">
        <f t="shared" si="4"/>
        <v xml:space="preserve"> </v>
      </c>
    </row>
    <row r="16" spans="2:17" s="132" customFormat="1" ht="15.95" customHeight="1" thickBot="1" x14ac:dyDescent="0.3">
      <c r="B16" s="134" t="s">
        <v>41</v>
      </c>
      <c r="C16" s="52">
        <f>D16+E16</f>
        <v>256246</v>
      </c>
      <c r="D16" s="123">
        <f>D15+D10</f>
        <v>256246</v>
      </c>
      <c r="E16" s="123">
        <f>E15+E10</f>
        <v>0</v>
      </c>
      <c r="F16" s="52">
        <f>G16+H16</f>
        <v>263603</v>
      </c>
      <c r="G16" s="123">
        <f>G15+G10</f>
        <v>263603</v>
      </c>
      <c r="H16" s="123">
        <f>H15+H10</f>
        <v>0</v>
      </c>
      <c r="I16" s="52">
        <f>J16+K16</f>
        <v>235000</v>
      </c>
      <c r="J16" s="123">
        <f>J15+J10</f>
        <v>235000</v>
      </c>
      <c r="K16" s="123">
        <f>K15+K10</f>
        <v>0</v>
      </c>
      <c r="L16" s="52">
        <f>M16+N16</f>
        <v>-21246</v>
      </c>
      <c r="M16" s="123">
        <f t="shared" si="1"/>
        <v>-21246</v>
      </c>
      <c r="N16" s="135">
        <f t="shared" si="1"/>
        <v>0</v>
      </c>
      <c r="O16" s="553">
        <f t="shared" si="2"/>
        <v>91.708748624368781</v>
      </c>
      <c r="P16" s="607">
        <f t="shared" si="3"/>
        <v>91.708748624368781</v>
      </c>
      <c r="Q16" s="608" t="str">
        <f t="shared" si="4"/>
        <v xml:space="preserve"> </v>
      </c>
    </row>
    <row r="17" spans="1:37" s="132" customFormat="1" ht="15.95" hidden="1" customHeight="1" x14ac:dyDescent="0.25">
      <c r="B17" s="455"/>
      <c r="C17" s="451"/>
      <c r="D17" s="452"/>
      <c r="E17" s="451" t="s">
        <v>603</v>
      </c>
      <c r="F17" s="451"/>
      <c r="G17" s="452"/>
      <c r="H17" s="452"/>
      <c r="I17" s="451">
        <v>260001</v>
      </c>
      <c r="J17" s="457"/>
      <c r="K17" s="457"/>
      <c r="L17" s="456"/>
      <c r="M17" s="457"/>
      <c r="N17" s="457"/>
      <c r="O17" s="456"/>
      <c r="P17" s="457"/>
      <c r="Q17" s="457"/>
    </row>
    <row r="18" spans="1:37" s="132" customFormat="1" ht="15.95" hidden="1" customHeight="1" thickBot="1" x14ac:dyDescent="0.3">
      <c r="B18" s="455"/>
      <c r="C18" s="453"/>
      <c r="D18" s="454"/>
      <c r="E18" s="453"/>
      <c r="F18" s="453" t="s">
        <v>604</v>
      </c>
      <c r="G18" s="454"/>
      <c r="H18" s="454"/>
      <c r="I18" s="453">
        <f>-I17+I16</f>
        <v>-25001</v>
      </c>
      <c r="J18" s="457"/>
      <c r="K18" s="457"/>
      <c r="L18" s="456"/>
      <c r="M18" s="457"/>
      <c r="N18" s="457"/>
      <c r="O18" s="456"/>
      <c r="P18" s="457"/>
      <c r="Q18" s="457"/>
    </row>
    <row r="19" spans="1:37" ht="24.75" hidden="1" customHeight="1" thickTop="1" x14ac:dyDescent="0.2">
      <c r="B19" s="418" t="s">
        <v>593</v>
      </c>
    </row>
    <row r="20" spans="1:37" ht="9.75" customHeight="1" x14ac:dyDescent="0.2">
      <c r="G20" s="127"/>
      <c r="J20" s="127"/>
    </row>
    <row r="21" spans="1:37" s="194" customFormat="1" ht="15.75" x14ac:dyDescent="0.25">
      <c r="A21" s="189" t="s">
        <v>185</v>
      </c>
      <c r="B21" s="154" t="s">
        <v>12</v>
      </c>
      <c r="C21" s="191"/>
      <c r="D21" s="191"/>
      <c r="E21" s="192"/>
      <c r="F21" s="229"/>
      <c r="G21" s="191"/>
      <c r="H21" s="192"/>
      <c r="I21" s="191"/>
      <c r="J21" s="191"/>
      <c r="K21" s="192"/>
      <c r="L21" s="191"/>
      <c r="M21" s="191"/>
      <c r="N21" s="192"/>
      <c r="O21" s="191"/>
      <c r="P21" s="191"/>
      <c r="Q21" s="192"/>
      <c r="R21" s="193"/>
      <c r="S21" s="193"/>
      <c r="T21" s="193"/>
      <c r="U21" s="193"/>
      <c r="V21" s="193"/>
      <c r="W21" s="193"/>
      <c r="X21" s="193"/>
      <c r="Y21" s="193"/>
      <c r="Z21" s="193"/>
      <c r="AA21" s="193"/>
      <c r="AB21" s="193"/>
      <c r="AC21" s="193"/>
      <c r="AD21" s="193"/>
      <c r="AE21" s="193"/>
      <c r="AF21" s="193"/>
      <c r="AG21" s="193"/>
      <c r="AH21" s="193"/>
      <c r="AI21" s="193"/>
      <c r="AJ21" s="193"/>
      <c r="AK21" s="193"/>
    </row>
    <row r="22" spans="1:37" customFormat="1" ht="32.25" customHeight="1" x14ac:dyDescent="0.2">
      <c r="B22" s="725" t="s">
        <v>612</v>
      </c>
      <c r="C22" s="725"/>
      <c r="D22" s="725"/>
      <c r="E22" s="725"/>
      <c r="F22" s="725"/>
      <c r="G22" s="725"/>
      <c r="H22" s="725"/>
      <c r="I22" s="725"/>
      <c r="J22" s="725"/>
      <c r="K22" s="726"/>
      <c r="L22" s="726"/>
      <c r="M22" s="726"/>
      <c r="N22" s="726"/>
      <c r="O22" s="702"/>
      <c r="P22" s="702"/>
      <c r="Q22" s="702"/>
    </row>
    <row r="23" spans="1:37" s="194" customFormat="1" ht="3" customHeight="1" x14ac:dyDescent="0.25">
      <c r="A23" s="189"/>
      <c r="B23" s="328"/>
      <c r="C23" s="328"/>
      <c r="D23" s="328"/>
      <c r="E23" s="328"/>
      <c r="F23" s="328"/>
      <c r="G23" s="328"/>
      <c r="H23" s="328"/>
      <c r="I23" s="328"/>
      <c r="J23" s="328"/>
      <c r="K23" s="328"/>
      <c r="L23" s="328"/>
      <c r="M23" s="328"/>
      <c r="N23" s="328"/>
      <c r="O23" s="328"/>
      <c r="P23" s="328"/>
      <c r="Q23" s="328"/>
      <c r="R23" s="193"/>
      <c r="S23" s="193"/>
      <c r="T23" s="193"/>
      <c r="U23" s="193"/>
      <c r="V23" s="193"/>
      <c r="W23" s="193"/>
      <c r="X23" s="193"/>
      <c r="Y23" s="193"/>
      <c r="Z23" s="193"/>
      <c r="AA23" s="193"/>
      <c r="AB23" s="193"/>
      <c r="AC23" s="193"/>
      <c r="AD23" s="193"/>
      <c r="AE23" s="193"/>
      <c r="AF23" s="193"/>
      <c r="AG23" s="193"/>
      <c r="AH23" s="193"/>
      <c r="AI23" s="193"/>
      <c r="AJ23" s="193"/>
      <c r="AK23" s="193"/>
    </row>
    <row r="24" spans="1:37" s="194" customFormat="1" ht="15.75" x14ac:dyDescent="0.25">
      <c r="A24" s="189"/>
      <c r="B24" s="195" t="s">
        <v>438</v>
      </c>
      <c r="C24" s="190"/>
      <c r="D24" s="190"/>
      <c r="E24" s="155"/>
      <c r="F24" s="155"/>
      <c r="G24" s="237"/>
      <c r="H24" s="155"/>
      <c r="I24" s="155"/>
      <c r="J24" s="155"/>
      <c r="K24" s="155"/>
      <c r="L24" s="155"/>
      <c r="M24" s="155"/>
      <c r="N24" s="155"/>
      <c r="O24" s="155"/>
      <c r="P24" s="155"/>
      <c r="Q24" s="155"/>
      <c r="R24" s="193"/>
      <c r="S24" s="193"/>
      <c r="T24" s="193"/>
      <c r="U24" s="193"/>
      <c r="V24" s="193"/>
      <c r="W24" s="193"/>
      <c r="X24" s="193"/>
      <c r="Y24" s="193"/>
      <c r="Z24" s="193"/>
      <c r="AA24" s="193"/>
      <c r="AB24" s="193"/>
      <c r="AC24" s="193"/>
      <c r="AD24" s="193"/>
      <c r="AE24" s="193"/>
      <c r="AF24" s="193"/>
      <c r="AG24" s="193"/>
      <c r="AH24" s="193"/>
      <c r="AI24" s="193"/>
      <c r="AJ24" s="193"/>
      <c r="AK24" s="193"/>
    </row>
    <row r="25" spans="1:37" s="194" customFormat="1" ht="15.75" x14ac:dyDescent="0.25">
      <c r="A25" s="189"/>
      <c r="B25" s="723" t="s">
        <v>583</v>
      </c>
      <c r="C25" s="724"/>
      <c r="D25" s="724"/>
      <c r="E25" s="724"/>
      <c r="F25" s="724"/>
      <c r="G25" s="724"/>
      <c r="H25" s="724"/>
      <c r="I25" s="724"/>
      <c r="J25" s="724"/>
      <c r="K25" s="724"/>
      <c r="L25" s="724"/>
      <c r="M25" s="724"/>
      <c r="N25" s="724"/>
      <c r="O25" s="675"/>
      <c r="P25" s="675"/>
      <c r="Q25" s="675"/>
      <c r="R25" s="193"/>
      <c r="S25" s="193"/>
      <c r="T25" s="193"/>
      <c r="U25" s="193"/>
      <c r="V25" s="193"/>
      <c r="W25" s="193"/>
      <c r="X25" s="193"/>
      <c r="Y25" s="193"/>
      <c r="Z25" s="193"/>
      <c r="AA25" s="193"/>
      <c r="AB25" s="193"/>
      <c r="AC25" s="193"/>
      <c r="AD25" s="193"/>
      <c r="AE25" s="193"/>
      <c r="AF25" s="193"/>
      <c r="AG25" s="193"/>
      <c r="AH25" s="193"/>
      <c r="AI25" s="193"/>
      <c r="AJ25" s="193"/>
      <c r="AK25" s="193"/>
    </row>
    <row r="26" spans="1:37" s="194" customFormat="1" ht="15.75" x14ac:dyDescent="0.25">
      <c r="A26" s="189"/>
      <c r="B26" s="724"/>
      <c r="C26" s="724"/>
      <c r="D26" s="724"/>
      <c r="E26" s="724"/>
      <c r="F26" s="724"/>
      <c r="G26" s="724"/>
      <c r="H26" s="724"/>
      <c r="I26" s="724"/>
      <c r="J26" s="724"/>
      <c r="K26" s="724"/>
      <c r="L26" s="724"/>
      <c r="M26" s="724"/>
      <c r="N26" s="724"/>
      <c r="O26" s="675"/>
      <c r="P26" s="675"/>
      <c r="Q26" s="675"/>
      <c r="R26" s="193"/>
      <c r="S26" s="193"/>
      <c r="T26" s="193"/>
      <c r="U26" s="193"/>
      <c r="V26" s="193"/>
      <c r="W26" s="193"/>
      <c r="X26" s="193"/>
      <c r="Y26" s="193"/>
      <c r="Z26" s="193"/>
      <c r="AA26" s="193"/>
      <c r="AB26" s="193"/>
      <c r="AC26" s="193"/>
      <c r="AD26" s="193"/>
      <c r="AE26" s="193"/>
      <c r="AF26" s="193"/>
      <c r="AG26" s="193"/>
      <c r="AH26" s="193"/>
      <c r="AI26" s="193"/>
      <c r="AJ26" s="193"/>
      <c r="AK26" s="193"/>
    </row>
    <row r="27" spans="1:37" s="194" customFormat="1" ht="15.75" x14ac:dyDescent="0.25">
      <c r="A27" s="189"/>
      <c r="B27" s="190"/>
      <c r="C27" s="190"/>
      <c r="D27" s="190"/>
      <c r="E27" s="155"/>
      <c r="F27" s="155"/>
      <c r="G27" s="155"/>
      <c r="H27" s="155"/>
      <c r="I27" s="155"/>
      <c r="J27" s="155"/>
      <c r="K27" s="155"/>
      <c r="L27" s="155"/>
      <c r="M27" s="155"/>
      <c r="N27" s="155"/>
      <c r="O27" s="155"/>
      <c r="P27" s="155"/>
      <c r="Q27" s="155"/>
      <c r="R27" s="193"/>
      <c r="S27" s="193"/>
      <c r="T27" s="193"/>
      <c r="U27" s="193"/>
      <c r="V27" s="193"/>
      <c r="W27" s="193"/>
      <c r="X27" s="193"/>
      <c r="Y27" s="193"/>
      <c r="Z27" s="193"/>
      <c r="AA27" s="193"/>
      <c r="AB27" s="193"/>
      <c r="AC27" s="193"/>
      <c r="AD27" s="193"/>
      <c r="AE27" s="193"/>
      <c r="AF27" s="193"/>
      <c r="AG27" s="193"/>
      <c r="AH27" s="193"/>
      <c r="AI27" s="193"/>
      <c r="AJ27" s="193"/>
      <c r="AK27" s="193"/>
    </row>
    <row r="28" spans="1:37" customFormat="1"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row>
    <row r="29" spans="1:37" customFormat="1" x14ac:dyDescent="0.2">
      <c r="A29" s="156"/>
      <c r="B29" s="39"/>
      <c r="C29" s="39"/>
      <c r="D29" s="39"/>
      <c r="E29" s="39"/>
      <c r="F29" s="39"/>
      <c r="G29" s="39"/>
      <c r="H29" s="39"/>
      <c r="I29" s="39"/>
      <c r="J29" s="39"/>
      <c r="K29" s="39"/>
      <c r="L29" s="39"/>
      <c r="M29" s="39"/>
      <c r="N29" s="39"/>
      <c r="O29" s="39"/>
      <c r="P29" s="39"/>
      <c r="Q29" s="39"/>
      <c r="R29" s="156"/>
      <c r="S29" s="156"/>
      <c r="T29" s="156"/>
      <c r="U29" s="156"/>
      <c r="V29" s="156"/>
      <c r="W29" s="156"/>
      <c r="X29" s="156"/>
      <c r="Y29" s="156"/>
      <c r="Z29" s="156"/>
      <c r="AA29" s="156"/>
      <c r="AB29" s="156"/>
      <c r="AC29" s="156"/>
      <c r="AD29" s="156"/>
      <c r="AE29" s="156"/>
      <c r="AF29" s="156"/>
      <c r="AG29" s="156"/>
      <c r="AH29" s="156"/>
      <c r="AI29" s="156"/>
      <c r="AJ29" s="156"/>
      <c r="AK29" s="156"/>
    </row>
    <row r="30" spans="1:37" customFormat="1" x14ac:dyDescent="0.2">
      <c r="A30" s="156"/>
      <c r="B30" s="39"/>
      <c r="C30" s="39"/>
      <c r="D30" s="39"/>
      <c r="E30" s="39"/>
      <c r="F30" s="39"/>
      <c r="G30" s="39"/>
      <c r="H30" s="39"/>
      <c r="I30" s="39"/>
      <c r="J30" s="39"/>
      <c r="K30" s="39"/>
      <c r="L30" s="39"/>
      <c r="M30" s="39"/>
      <c r="N30" s="39"/>
      <c r="O30" s="39"/>
      <c r="P30" s="39"/>
      <c r="Q30" s="39"/>
      <c r="R30" s="156"/>
      <c r="S30" s="156"/>
      <c r="T30" s="156"/>
      <c r="U30" s="156"/>
      <c r="V30" s="156"/>
      <c r="W30" s="156"/>
      <c r="X30" s="156"/>
      <c r="Y30" s="156"/>
      <c r="Z30" s="156"/>
      <c r="AA30" s="156"/>
      <c r="AB30" s="156"/>
      <c r="AC30" s="156"/>
      <c r="AD30" s="156"/>
      <c r="AE30" s="156"/>
      <c r="AF30" s="156"/>
      <c r="AG30" s="156"/>
      <c r="AH30" s="156"/>
      <c r="AI30" s="156"/>
      <c r="AJ30" s="156"/>
      <c r="AK30" s="156"/>
    </row>
    <row r="31" spans="1:37" customFormat="1" x14ac:dyDescent="0.2">
      <c r="A31" s="156"/>
      <c r="B31" s="39"/>
      <c r="C31" s="39"/>
      <c r="D31" s="39"/>
      <c r="E31" s="39"/>
      <c r="F31" s="39"/>
      <c r="G31" s="39"/>
      <c r="H31" s="39"/>
      <c r="I31" s="39"/>
      <c r="J31" s="39"/>
      <c r="K31" s="39"/>
      <c r="L31" s="39"/>
      <c r="M31" s="39"/>
      <c r="N31" s="39"/>
      <c r="O31" s="39"/>
      <c r="P31" s="39"/>
      <c r="Q31" s="39"/>
      <c r="R31" s="156"/>
      <c r="S31" s="156"/>
      <c r="T31" s="156"/>
      <c r="U31" s="156"/>
      <c r="V31" s="156"/>
      <c r="W31" s="156"/>
      <c r="X31" s="156"/>
      <c r="Y31" s="156"/>
      <c r="Z31" s="156"/>
      <c r="AA31" s="156"/>
      <c r="AB31" s="156"/>
      <c r="AC31" s="156"/>
      <c r="AD31" s="156"/>
      <c r="AE31" s="156"/>
      <c r="AF31" s="156"/>
      <c r="AG31" s="156"/>
      <c r="AH31" s="156"/>
      <c r="AI31" s="156"/>
      <c r="AJ31" s="156"/>
      <c r="AK31" s="156"/>
    </row>
    <row r="32" spans="1:37" customFormat="1" x14ac:dyDescent="0.2">
      <c r="A32" s="156"/>
      <c r="B32" s="39"/>
      <c r="C32" s="39"/>
      <c r="D32" s="39"/>
      <c r="E32" s="39"/>
      <c r="F32" s="39"/>
      <c r="G32" s="39"/>
      <c r="H32" s="39"/>
      <c r="I32" s="39"/>
      <c r="J32" s="39"/>
      <c r="K32" s="39"/>
      <c r="L32" s="39"/>
      <c r="M32" s="39"/>
      <c r="N32" s="39"/>
      <c r="O32" s="39"/>
      <c r="P32" s="39"/>
      <c r="Q32" s="39"/>
      <c r="R32" s="156"/>
      <c r="S32" s="156"/>
      <c r="T32" s="156"/>
      <c r="U32" s="156"/>
      <c r="V32" s="156"/>
      <c r="W32" s="156"/>
      <c r="X32" s="156"/>
      <c r="Y32" s="156"/>
      <c r="Z32" s="156"/>
      <c r="AA32" s="156"/>
      <c r="AB32" s="156"/>
      <c r="AC32" s="156"/>
      <c r="AD32" s="156"/>
      <c r="AE32" s="156"/>
      <c r="AF32" s="156"/>
      <c r="AG32" s="156"/>
      <c r="AH32" s="156"/>
      <c r="AI32" s="156"/>
      <c r="AJ32" s="156"/>
      <c r="AK32" s="156"/>
    </row>
  </sheetData>
  <sheetProtection selectLockedCells="1"/>
  <mergeCells count="26">
    <mergeCell ref="B25:Q26"/>
    <mergeCell ref="B22:Q22"/>
    <mergeCell ref="L4:N5"/>
    <mergeCell ref="H1:H2"/>
    <mergeCell ref="I1:I2"/>
    <mergeCell ref="J1:J2"/>
    <mergeCell ref="K1:K2"/>
    <mergeCell ref="L3:N3"/>
    <mergeCell ref="B7:B8"/>
    <mergeCell ref="C7:C8"/>
    <mergeCell ref="F7:F8"/>
    <mergeCell ref="I7:I8"/>
    <mergeCell ref="L7:L8"/>
    <mergeCell ref="G7:H7"/>
    <mergeCell ref="J7:K7"/>
    <mergeCell ref="C6:E6"/>
    <mergeCell ref="F6:H6"/>
    <mergeCell ref="I6:K6"/>
    <mergeCell ref="L6:N6"/>
    <mergeCell ref="D7:E7"/>
    <mergeCell ref="M7:N7"/>
    <mergeCell ref="O3:Q3"/>
    <mergeCell ref="O4:Q5"/>
    <mergeCell ref="O6:Q6"/>
    <mergeCell ref="O7:O8"/>
    <mergeCell ref="P7:Q7"/>
  </mergeCells>
  <pageMargins left="0.70866141732283472" right="0.70866141732283472" top="0.78740157480314965" bottom="0.78740157480314965" header="0.31496062992125984" footer="0.31496062992125984"/>
  <pageSetup paperSize="9" scale="65"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ignoredErrors>
    <ignoredError sqref="E10 H10 K1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AI48"/>
  <sheetViews>
    <sheetView showGridLines="0" zoomScaleNormal="100" workbookViewId="0">
      <selection activeCell="J29" sqref="J29"/>
    </sheetView>
  </sheetViews>
  <sheetFormatPr defaultRowHeight="12.75" x14ac:dyDescent="0.2"/>
  <cols>
    <col min="1" max="1" width="5.42578125" style="127" customWidth="1"/>
    <col min="2" max="2" width="14.7109375" style="39" customWidth="1"/>
    <col min="3" max="3" width="4.7109375" style="39" customWidth="1"/>
    <col min="4" max="4" width="10.7109375" style="39" hidden="1" customWidth="1"/>
    <col min="5" max="5" width="47.5703125" style="39" customWidth="1"/>
    <col min="6" max="6" width="12.7109375" style="89" customWidth="1"/>
    <col min="7" max="10" width="9.7109375" style="89" customWidth="1"/>
    <col min="11" max="11" width="12.7109375" style="89" customWidth="1"/>
    <col min="12" max="15" width="9.7109375" style="89" customWidth="1"/>
    <col min="16" max="16" width="12.7109375" style="89" customWidth="1"/>
    <col min="17" max="17" width="12" style="447" customWidth="1"/>
    <col min="18" max="20" width="9.7109375" style="447" customWidth="1"/>
    <col min="21" max="21" width="12.7109375" style="89" hidden="1" customWidth="1"/>
    <col min="22" max="25" width="9.7109375" style="89" hidden="1" customWidth="1"/>
    <col min="26" max="27" width="9.140625" style="89" hidden="1" customWidth="1"/>
    <col min="28" max="35" width="9.140625" style="39" hidden="1" customWidth="1"/>
    <col min="36" max="36" width="9.140625" style="39" customWidth="1"/>
    <col min="37" max="16384" width="9.140625" style="39"/>
  </cols>
  <sheetData>
    <row r="2" spans="2:35" ht="21.75" x14ac:dyDescent="0.3">
      <c r="B2" s="122" t="s">
        <v>118</v>
      </c>
      <c r="C2" s="121"/>
      <c r="D2" s="121"/>
      <c r="E2" s="121"/>
      <c r="F2" s="120"/>
      <c r="G2" s="120"/>
      <c r="H2" s="120"/>
      <c r="I2" s="120"/>
      <c r="J2" s="120"/>
      <c r="K2" s="118"/>
      <c r="L2" s="118"/>
      <c r="M2" s="118"/>
      <c r="N2" s="118"/>
      <c r="O2" s="118"/>
      <c r="P2" s="118"/>
      <c r="Q2" s="437"/>
      <c r="R2" s="437"/>
      <c r="S2" s="437"/>
      <c r="T2" s="437" t="s">
        <v>117</v>
      </c>
      <c r="U2" s="118"/>
      <c r="V2" s="118"/>
      <c r="W2" s="119" t="s">
        <v>117</v>
      </c>
      <c r="X2" s="118"/>
      <c r="Y2" s="118" t="s">
        <v>117</v>
      </c>
    </row>
    <row r="3" spans="2:35" ht="15.75" x14ac:dyDescent="0.25">
      <c r="B3" s="117" t="s">
        <v>2</v>
      </c>
      <c r="C3" s="117" t="s">
        <v>554</v>
      </c>
      <c r="D3" s="116"/>
      <c r="E3" s="115"/>
      <c r="F3" s="114"/>
      <c r="G3" s="114"/>
      <c r="H3" s="114"/>
      <c r="I3" s="114"/>
      <c r="J3" s="114"/>
      <c r="K3" s="113"/>
      <c r="L3" s="113"/>
      <c r="M3" s="113"/>
      <c r="N3" s="113"/>
      <c r="O3" s="113"/>
      <c r="P3" s="113"/>
      <c r="Q3" s="438"/>
      <c r="R3" s="438"/>
      <c r="S3" s="438"/>
      <c r="T3" s="438"/>
      <c r="U3" s="113"/>
      <c r="V3" s="113"/>
      <c r="W3" s="113"/>
      <c r="X3" s="113"/>
      <c r="Y3" s="113"/>
    </row>
    <row r="4" spans="2:35" ht="15.75" x14ac:dyDescent="0.25">
      <c r="B4" s="116"/>
      <c r="C4" s="117" t="s">
        <v>4</v>
      </c>
      <c r="D4" s="116"/>
      <c r="E4" s="115"/>
      <c r="F4" s="114"/>
      <c r="G4" s="114"/>
      <c r="H4" s="114"/>
      <c r="I4" s="114"/>
      <c r="J4" s="114"/>
      <c r="K4" s="113"/>
      <c r="L4" s="113"/>
      <c r="M4" s="113"/>
      <c r="N4" s="113"/>
      <c r="O4" s="113"/>
      <c r="P4" s="113"/>
      <c r="Q4" s="438"/>
      <c r="R4" s="438"/>
      <c r="S4" s="438"/>
      <c r="T4" s="438"/>
      <c r="U4" s="113"/>
      <c r="V4" s="113"/>
      <c r="W4" s="113"/>
      <c r="X4" s="113"/>
      <c r="Y4" s="113"/>
    </row>
    <row r="5" spans="2:35" ht="18" x14ac:dyDescent="0.25">
      <c r="B5" s="112"/>
      <c r="C5" s="112"/>
      <c r="D5" s="112"/>
      <c r="E5" s="112"/>
      <c r="F5" s="111"/>
      <c r="G5" s="111"/>
      <c r="H5" s="111"/>
      <c r="I5" s="111"/>
      <c r="J5" s="111"/>
      <c r="K5" s="111"/>
      <c r="L5" s="111"/>
      <c r="M5" s="111"/>
      <c r="N5" s="111"/>
      <c r="O5" s="111"/>
      <c r="P5" s="111"/>
      <c r="Q5" s="439"/>
      <c r="R5" s="439"/>
      <c r="S5" s="439"/>
      <c r="T5" s="439"/>
      <c r="U5" s="111"/>
      <c r="V5" s="111"/>
      <c r="W5" s="111"/>
      <c r="X5" s="111"/>
      <c r="Y5" s="111"/>
    </row>
    <row r="7" spans="2:35" ht="13.5" thickBot="1" x14ac:dyDescent="0.25">
      <c r="B7" s="110"/>
      <c r="C7" s="110"/>
      <c r="D7" s="110"/>
      <c r="E7" s="110"/>
      <c r="F7" s="109"/>
      <c r="G7" s="109"/>
      <c r="H7" s="109"/>
      <c r="I7" s="109"/>
      <c r="J7" s="109"/>
      <c r="K7" s="109"/>
      <c r="L7" s="109"/>
      <c r="M7" s="109"/>
      <c r="N7" s="109"/>
      <c r="O7" s="109"/>
      <c r="P7" s="109"/>
      <c r="Q7" s="440"/>
      <c r="R7" s="440"/>
      <c r="S7" s="440"/>
      <c r="T7" s="440" t="s">
        <v>5</v>
      </c>
      <c r="U7" s="109"/>
      <c r="V7" s="109"/>
      <c r="W7" s="109"/>
      <c r="X7" s="109"/>
      <c r="Y7" s="109" t="s">
        <v>5</v>
      </c>
    </row>
    <row r="8" spans="2:35" x14ac:dyDescent="0.2">
      <c r="B8" s="502"/>
      <c r="C8" s="507"/>
      <c r="D8" s="502"/>
      <c r="E8" s="502"/>
      <c r="F8" s="742" t="s">
        <v>548</v>
      </c>
      <c r="G8" s="743"/>
      <c r="H8" s="743"/>
      <c r="I8" s="743"/>
      <c r="J8" s="744"/>
      <c r="K8" s="710" t="s">
        <v>549</v>
      </c>
      <c r="L8" s="711"/>
      <c r="M8" s="711"/>
      <c r="N8" s="711"/>
      <c r="O8" s="711"/>
      <c r="P8" s="742" t="s">
        <v>558</v>
      </c>
      <c r="Q8" s="743"/>
      <c r="R8" s="743"/>
      <c r="S8" s="743"/>
      <c r="T8" s="744"/>
      <c r="U8" s="727" t="s">
        <v>6</v>
      </c>
      <c r="V8" s="728"/>
      <c r="W8" s="728"/>
      <c r="X8" s="728"/>
      <c r="Y8" s="729"/>
      <c r="Z8" s="727" t="s">
        <v>451</v>
      </c>
      <c r="AA8" s="728"/>
      <c r="AB8" s="728"/>
      <c r="AC8" s="728"/>
      <c r="AD8" s="729"/>
    </row>
    <row r="9" spans="2:35" ht="18" customHeight="1" thickBot="1" x14ac:dyDescent="0.25">
      <c r="B9" s="745" t="s">
        <v>7</v>
      </c>
      <c r="C9" s="746"/>
      <c r="D9" s="508" t="s">
        <v>8</v>
      </c>
      <c r="E9" s="509" t="s">
        <v>9</v>
      </c>
      <c r="F9" s="510"/>
      <c r="G9" s="511" t="s">
        <v>10</v>
      </c>
      <c r="H9" s="510"/>
      <c r="I9" s="510"/>
      <c r="J9" s="510"/>
      <c r="K9" s="512"/>
      <c r="L9" s="511" t="s">
        <v>10</v>
      </c>
      <c r="M9" s="510"/>
      <c r="N9" s="510"/>
      <c r="O9" s="510"/>
      <c r="P9" s="512"/>
      <c r="Q9" s="511" t="s">
        <v>10</v>
      </c>
      <c r="R9" s="513"/>
      <c r="S9" s="513"/>
      <c r="T9" s="514"/>
      <c r="U9" s="108"/>
      <c r="V9" s="107" t="s">
        <v>10</v>
      </c>
      <c r="W9" s="106"/>
      <c r="X9" s="106"/>
      <c r="Y9" s="105"/>
      <c r="Z9" s="108"/>
      <c r="AA9" s="107" t="s">
        <v>10</v>
      </c>
      <c r="AB9" s="128"/>
      <c r="AC9" s="128"/>
      <c r="AD9" s="105"/>
    </row>
    <row r="10" spans="2:35" ht="48" customHeight="1" x14ac:dyDescent="0.2">
      <c r="B10" s="515"/>
      <c r="C10" s="516"/>
      <c r="D10" s="515"/>
      <c r="E10" s="515"/>
      <c r="F10" s="517" t="s">
        <v>11</v>
      </c>
      <c r="G10" s="518" t="s">
        <v>12</v>
      </c>
      <c r="H10" s="518" t="s">
        <v>13</v>
      </c>
      <c r="I10" s="518" t="s">
        <v>14</v>
      </c>
      <c r="J10" s="518" t="s">
        <v>15</v>
      </c>
      <c r="K10" s="517" t="s">
        <v>11</v>
      </c>
      <c r="L10" s="518" t="s">
        <v>12</v>
      </c>
      <c r="M10" s="518" t="s">
        <v>13</v>
      </c>
      <c r="N10" s="518" t="s">
        <v>14</v>
      </c>
      <c r="O10" s="518" t="s">
        <v>15</v>
      </c>
      <c r="P10" s="517" t="s">
        <v>11</v>
      </c>
      <c r="Q10" s="518" t="s">
        <v>12</v>
      </c>
      <c r="R10" s="518" t="s">
        <v>13</v>
      </c>
      <c r="S10" s="518" t="s">
        <v>14</v>
      </c>
      <c r="T10" s="519" t="s">
        <v>15</v>
      </c>
      <c r="U10" s="104" t="s">
        <v>11</v>
      </c>
      <c r="V10" s="103" t="s">
        <v>12</v>
      </c>
      <c r="W10" s="103" t="s">
        <v>13</v>
      </c>
      <c r="X10" s="103" t="s">
        <v>14</v>
      </c>
      <c r="Y10" s="102" t="s">
        <v>15</v>
      </c>
      <c r="Z10" s="104" t="s">
        <v>11</v>
      </c>
      <c r="AA10" s="103" t="s">
        <v>12</v>
      </c>
      <c r="AB10" s="103" t="s">
        <v>13</v>
      </c>
      <c r="AC10" s="103" t="s">
        <v>14</v>
      </c>
      <c r="AD10" s="102" t="s">
        <v>15</v>
      </c>
      <c r="AE10" s="733" t="s">
        <v>441</v>
      </c>
      <c r="AF10" s="734"/>
    </row>
    <row r="11" spans="2:35" ht="13.5" thickBot="1" x14ac:dyDescent="0.25">
      <c r="B11" s="520" t="s">
        <v>16</v>
      </c>
      <c r="C11" s="521" t="s">
        <v>17</v>
      </c>
      <c r="D11" s="473"/>
      <c r="E11" s="473"/>
      <c r="F11" s="474"/>
      <c r="G11" s="475" t="s">
        <v>18</v>
      </c>
      <c r="H11" s="475" t="s">
        <v>19</v>
      </c>
      <c r="I11" s="475" t="s">
        <v>20</v>
      </c>
      <c r="J11" s="475" t="s">
        <v>21</v>
      </c>
      <c r="K11" s="474"/>
      <c r="L11" s="475" t="s">
        <v>18</v>
      </c>
      <c r="M11" s="475" t="s">
        <v>19</v>
      </c>
      <c r="N11" s="475" t="s">
        <v>20</v>
      </c>
      <c r="O11" s="475" t="s">
        <v>21</v>
      </c>
      <c r="P11" s="474"/>
      <c r="Q11" s="475" t="s">
        <v>18</v>
      </c>
      <c r="R11" s="475" t="s">
        <v>19</v>
      </c>
      <c r="S11" s="475" t="s">
        <v>20</v>
      </c>
      <c r="T11" s="506" t="s">
        <v>21</v>
      </c>
      <c r="U11" s="59"/>
      <c r="V11" s="58" t="s">
        <v>18</v>
      </c>
      <c r="W11" s="58" t="s">
        <v>19</v>
      </c>
      <c r="X11" s="58" t="s">
        <v>20</v>
      </c>
      <c r="Y11" s="57" t="s">
        <v>21</v>
      </c>
      <c r="Z11" s="59"/>
      <c r="AA11" s="58" t="s">
        <v>18</v>
      </c>
      <c r="AB11" s="58" t="s">
        <v>19</v>
      </c>
      <c r="AC11" s="58" t="s">
        <v>20</v>
      </c>
      <c r="AD11" s="57" t="s">
        <v>21</v>
      </c>
      <c r="AE11" s="46"/>
      <c r="AF11" s="234"/>
      <c r="AG11" s="39" t="s">
        <v>482</v>
      </c>
      <c r="AI11" s="39" t="s">
        <v>580</v>
      </c>
    </row>
    <row r="12" spans="2:35" ht="13.5" thickBot="1" x14ac:dyDescent="0.25">
      <c r="B12" s="522"/>
      <c r="C12" s="523"/>
      <c r="D12" s="522"/>
      <c r="E12" s="522"/>
      <c r="F12" s="524" t="s">
        <v>22</v>
      </c>
      <c r="G12" s="735" t="s">
        <v>22</v>
      </c>
      <c r="H12" s="736"/>
      <c r="I12" s="736"/>
      <c r="J12" s="737"/>
      <c r="K12" s="524" t="s">
        <v>22</v>
      </c>
      <c r="L12" s="735" t="s">
        <v>22</v>
      </c>
      <c r="M12" s="736"/>
      <c r="N12" s="736"/>
      <c r="O12" s="737"/>
      <c r="P12" s="524" t="s">
        <v>22</v>
      </c>
      <c r="Q12" s="735" t="s">
        <v>22</v>
      </c>
      <c r="R12" s="736"/>
      <c r="S12" s="736"/>
      <c r="T12" s="737"/>
      <c r="U12" s="101" t="s">
        <v>22</v>
      </c>
      <c r="V12" s="730" t="s">
        <v>22</v>
      </c>
      <c r="W12" s="731"/>
      <c r="X12" s="731"/>
      <c r="Y12" s="732"/>
      <c r="Z12" s="101" t="s">
        <v>22</v>
      </c>
      <c r="AA12" s="730" t="s">
        <v>22</v>
      </c>
      <c r="AB12" s="731"/>
      <c r="AC12" s="731"/>
      <c r="AD12" s="732"/>
      <c r="AE12" s="235" t="s">
        <v>442</v>
      </c>
      <c r="AF12" s="236" t="s">
        <v>443</v>
      </c>
      <c r="AG12" s="425">
        <v>0.75</v>
      </c>
      <c r="AH12" s="426" t="s">
        <v>457</v>
      </c>
    </row>
    <row r="13" spans="2:35" ht="15" thickBot="1" x14ac:dyDescent="0.25">
      <c r="B13" s="100" t="s">
        <v>115</v>
      </c>
      <c r="C13" s="99" t="s">
        <v>116</v>
      </c>
      <c r="D13" s="98"/>
      <c r="E13" s="97" t="s">
        <v>119</v>
      </c>
      <c r="F13" s="96">
        <f>SUM(G13:J13)</f>
        <v>85125</v>
      </c>
      <c r="G13" s="95">
        <v>85125</v>
      </c>
      <c r="H13" s="95"/>
      <c r="I13" s="95"/>
      <c r="J13" s="95"/>
      <c r="K13" s="96">
        <f>SUM(L13:O13)</f>
        <v>72742</v>
      </c>
      <c r="L13" s="95">
        <v>72742</v>
      </c>
      <c r="M13" s="95"/>
      <c r="N13" s="95"/>
      <c r="O13" s="95"/>
      <c r="P13" s="96">
        <f>SUM(Q13:T13)</f>
        <v>89120</v>
      </c>
      <c r="Q13" s="441">
        <v>89120</v>
      </c>
      <c r="R13" s="442"/>
      <c r="S13" s="442"/>
      <c r="T13" s="443"/>
      <c r="U13" s="96">
        <f>SUM(V13:Y13)</f>
        <v>3995</v>
      </c>
      <c r="V13" s="126">
        <f t="shared" ref="V13:Y14" si="0">Q13-G13</f>
        <v>3995</v>
      </c>
      <c r="W13" s="126">
        <f t="shared" si="0"/>
        <v>0</v>
      </c>
      <c r="X13" s="126">
        <f t="shared" si="0"/>
        <v>0</v>
      </c>
      <c r="Y13" s="94">
        <f t="shared" si="0"/>
        <v>0</v>
      </c>
      <c r="Z13" s="96">
        <f>SUM(AA13:AD13)</f>
        <v>0</v>
      </c>
      <c r="AA13" s="95"/>
      <c r="AB13" s="95">
        <v>0</v>
      </c>
      <c r="AC13" s="95">
        <v>0</v>
      </c>
      <c r="AD13" s="94"/>
      <c r="AE13" s="232">
        <f>AA13-Q13</f>
        <v>-89120</v>
      </c>
      <c r="AF13" s="424" t="e">
        <f>1-Q13/AA13</f>
        <v>#DIV/0!</v>
      </c>
      <c r="AG13" s="127"/>
    </row>
    <row r="14" spans="2:35" ht="15" thickBot="1" x14ac:dyDescent="0.25">
      <c r="B14" s="100" t="s">
        <v>114</v>
      </c>
      <c r="C14" s="99" t="s">
        <v>77</v>
      </c>
      <c r="D14" s="98"/>
      <c r="E14" s="435" t="s">
        <v>113</v>
      </c>
      <c r="F14" s="96">
        <f t="shared" ref="F14:F45" si="1">SUM(G14:J14)</f>
        <v>2165</v>
      </c>
      <c r="G14" s="95">
        <v>1732</v>
      </c>
      <c r="H14" s="95"/>
      <c r="I14" s="95"/>
      <c r="J14" s="95">
        <v>433</v>
      </c>
      <c r="K14" s="96">
        <f t="shared" ref="K14:K45" si="2">SUM(L14:O14)</f>
        <v>2465</v>
      </c>
      <c r="L14" s="95">
        <v>2032</v>
      </c>
      <c r="M14" s="95"/>
      <c r="N14" s="95"/>
      <c r="O14" s="95">
        <v>433</v>
      </c>
      <c r="P14" s="96">
        <f t="shared" ref="P14:P45" si="3">SUM(Q14:T14)</f>
        <v>1840</v>
      </c>
      <c r="Q14" s="441">
        <v>1404</v>
      </c>
      <c r="R14" s="442"/>
      <c r="S14" s="442"/>
      <c r="T14" s="443">
        <v>436</v>
      </c>
      <c r="U14" s="96">
        <f t="shared" ref="U14:U45" si="4">SUM(V14:Y14)</f>
        <v>-325</v>
      </c>
      <c r="V14" s="126">
        <f t="shared" si="0"/>
        <v>-328</v>
      </c>
      <c r="W14" s="126">
        <f t="shared" si="0"/>
        <v>0</v>
      </c>
      <c r="X14" s="126">
        <f t="shared" si="0"/>
        <v>0</v>
      </c>
      <c r="Y14" s="94">
        <f t="shared" si="0"/>
        <v>3</v>
      </c>
      <c r="Z14" s="96">
        <f t="shared" ref="Z14:Z45" si="5">SUM(AA14:AD14)</f>
        <v>0</v>
      </c>
      <c r="AA14" s="95"/>
      <c r="AB14" s="95">
        <v>0</v>
      </c>
      <c r="AC14" s="95">
        <v>0</v>
      </c>
      <c r="AD14" s="94"/>
      <c r="AE14" s="232">
        <f>AA14-Q14</f>
        <v>-1404</v>
      </c>
      <c r="AF14" s="424" t="e">
        <f>1-Q14/AA14</f>
        <v>#DIV/0!</v>
      </c>
      <c r="AG14" s="127">
        <f>ROUND($AG$12*T14,0)</f>
        <v>327</v>
      </c>
    </row>
    <row r="15" spans="2:35" ht="15" thickBot="1" x14ac:dyDescent="0.25">
      <c r="B15" s="100" t="s">
        <v>112</v>
      </c>
      <c r="C15" s="99" t="s">
        <v>77</v>
      </c>
      <c r="D15" s="98"/>
      <c r="E15" s="435" t="s">
        <v>111</v>
      </c>
      <c r="F15" s="96">
        <f t="shared" si="1"/>
        <v>3813</v>
      </c>
      <c r="G15" s="95">
        <v>3360</v>
      </c>
      <c r="H15" s="95"/>
      <c r="I15" s="95"/>
      <c r="J15" s="95">
        <v>453</v>
      </c>
      <c r="K15" s="96">
        <f t="shared" si="2"/>
        <v>3813</v>
      </c>
      <c r="L15" s="95">
        <v>3360</v>
      </c>
      <c r="M15" s="95"/>
      <c r="N15" s="95"/>
      <c r="O15" s="95">
        <v>453</v>
      </c>
      <c r="P15" s="96">
        <f t="shared" si="3"/>
        <v>2633</v>
      </c>
      <c r="Q15" s="441">
        <v>2180</v>
      </c>
      <c r="R15" s="442"/>
      <c r="S15" s="442"/>
      <c r="T15" s="443">
        <v>453</v>
      </c>
      <c r="U15" s="96">
        <f t="shared" si="4"/>
        <v>-1180</v>
      </c>
      <c r="V15" s="126">
        <f t="shared" ref="V15:V45" si="6">Q15-G15</f>
        <v>-1180</v>
      </c>
      <c r="W15" s="126">
        <f t="shared" ref="W15:W45" si="7">R15-H15</f>
        <v>0</v>
      </c>
      <c r="X15" s="126">
        <f t="shared" ref="X15:X45" si="8">S15-I15</f>
        <v>0</v>
      </c>
      <c r="Y15" s="94">
        <f t="shared" ref="Y15:Y45" si="9">T15-J15</f>
        <v>0</v>
      </c>
      <c r="Z15" s="96">
        <f t="shared" si="5"/>
        <v>0</v>
      </c>
      <c r="AA15" s="95"/>
      <c r="AB15" s="95">
        <v>0</v>
      </c>
      <c r="AC15" s="95">
        <v>0</v>
      </c>
      <c r="AD15" s="94"/>
      <c r="AE15" s="232">
        <f t="shared" ref="AE15:AE46" si="10">AA15-Q15</f>
        <v>-2180</v>
      </c>
      <c r="AF15" s="424" t="e">
        <f t="shared" ref="AF15:AF46" si="11">1-Q15/AA15</f>
        <v>#DIV/0!</v>
      </c>
      <c r="AG15" s="127">
        <f>ROUND($AG$12*T15,0)</f>
        <v>340</v>
      </c>
    </row>
    <row r="16" spans="2:35" ht="15" thickBot="1" x14ac:dyDescent="0.25">
      <c r="B16" s="100" t="s">
        <v>110</v>
      </c>
      <c r="C16" s="99" t="s">
        <v>77</v>
      </c>
      <c r="D16" s="98"/>
      <c r="E16" s="435" t="s">
        <v>120</v>
      </c>
      <c r="F16" s="96">
        <f t="shared" si="1"/>
        <v>4327</v>
      </c>
      <c r="G16" s="95">
        <v>3251</v>
      </c>
      <c r="H16" s="95"/>
      <c r="I16" s="95"/>
      <c r="J16" s="95">
        <v>1076</v>
      </c>
      <c r="K16" s="96">
        <f t="shared" si="2"/>
        <v>5627</v>
      </c>
      <c r="L16" s="95">
        <v>4551</v>
      </c>
      <c r="M16" s="95"/>
      <c r="N16" s="95"/>
      <c r="O16" s="95">
        <f>J16</f>
        <v>1076</v>
      </c>
      <c r="P16" s="96">
        <f t="shared" si="3"/>
        <v>3491</v>
      </c>
      <c r="Q16" s="441">
        <v>2442</v>
      </c>
      <c r="R16" s="442"/>
      <c r="S16" s="442"/>
      <c r="T16" s="443">
        <v>1049</v>
      </c>
      <c r="U16" s="96">
        <f t="shared" si="4"/>
        <v>-836</v>
      </c>
      <c r="V16" s="126">
        <f t="shared" si="6"/>
        <v>-809</v>
      </c>
      <c r="W16" s="126">
        <f t="shared" si="7"/>
        <v>0</v>
      </c>
      <c r="X16" s="126">
        <f t="shared" si="8"/>
        <v>0</v>
      </c>
      <c r="Y16" s="94">
        <f t="shared" si="9"/>
        <v>-27</v>
      </c>
      <c r="Z16" s="96">
        <f t="shared" si="5"/>
        <v>0</v>
      </c>
      <c r="AA16" s="95"/>
      <c r="AB16" s="95">
        <v>0</v>
      </c>
      <c r="AC16" s="95">
        <v>0</v>
      </c>
      <c r="AD16" s="94"/>
      <c r="AE16" s="232">
        <f t="shared" si="10"/>
        <v>-2442</v>
      </c>
      <c r="AF16" s="424" t="e">
        <f t="shared" si="11"/>
        <v>#DIV/0!</v>
      </c>
      <c r="AG16" s="127">
        <f t="shared" ref="AG16:AG45" si="12">ROUND($AG$12*T16,0)</f>
        <v>787</v>
      </c>
    </row>
    <row r="17" spans="2:35" ht="15" thickBot="1" x14ac:dyDescent="0.25">
      <c r="B17" s="100" t="s">
        <v>109</v>
      </c>
      <c r="C17" s="99" t="s">
        <v>86</v>
      </c>
      <c r="D17" s="98"/>
      <c r="E17" s="435" t="s">
        <v>121</v>
      </c>
      <c r="F17" s="96">
        <f t="shared" si="1"/>
        <v>254</v>
      </c>
      <c r="G17" s="95">
        <v>192</v>
      </c>
      <c r="H17" s="95"/>
      <c r="I17" s="95"/>
      <c r="J17" s="95">
        <v>62</v>
      </c>
      <c r="K17" s="96">
        <f t="shared" si="2"/>
        <v>754</v>
      </c>
      <c r="L17" s="95">
        <v>692</v>
      </c>
      <c r="M17" s="95"/>
      <c r="N17" s="95"/>
      <c r="O17" s="95">
        <f t="shared" ref="O17:O45" si="13">J17</f>
        <v>62</v>
      </c>
      <c r="P17" s="96">
        <f t="shared" si="3"/>
        <v>944</v>
      </c>
      <c r="Q17" s="441">
        <v>843</v>
      </c>
      <c r="R17" s="442"/>
      <c r="S17" s="442"/>
      <c r="T17" s="443">
        <v>101</v>
      </c>
      <c r="U17" s="96">
        <f t="shared" si="4"/>
        <v>690</v>
      </c>
      <c r="V17" s="126">
        <f t="shared" si="6"/>
        <v>651</v>
      </c>
      <c r="W17" s="126">
        <f t="shared" si="7"/>
        <v>0</v>
      </c>
      <c r="X17" s="126">
        <f t="shared" si="8"/>
        <v>0</v>
      </c>
      <c r="Y17" s="94">
        <f t="shared" si="9"/>
        <v>39</v>
      </c>
      <c r="Z17" s="96">
        <f t="shared" si="5"/>
        <v>0</v>
      </c>
      <c r="AA17" s="95"/>
      <c r="AB17" s="95">
        <v>0</v>
      </c>
      <c r="AC17" s="95">
        <v>0</v>
      </c>
      <c r="AD17" s="94"/>
      <c r="AE17" s="232">
        <f t="shared" si="10"/>
        <v>-843</v>
      </c>
      <c r="AF17" s="424" t="e">
        <f t="shared" si="11"/>
        <v>#DIV/0!</v>
      </c>
      <c r="AG17" s="127">
        <f t="shared" si="12"/>
        <v>76</v>
      </c>
    </row>
    <row r="18" spans="2:35" ht="15" thickBot="1" x14ac:dyDescent="0.25">
      <c r="B18" s="100" t="s">
        <v>108</v>
      </c>
      <c r="C18" s="99" t="s">
        <v>77</v>
      </c>
      <c r="D18" s="98"/>
      <c r="E18" s="435" t="s">
        <v>122</v>
      </c>
      <c r="F18" s="96">
        <f t="shared" si="1"/>
        <v>6441</v>
      </c>
      <c r="G18" s="95">
        <v>5591</v>
      </c>
      <c r="H18" s="95"/>
      <c r="I18" s="95"/>
      <c r="J18" s="95">
        <v>850</v>
      </c>
      <c r="K18" s="96">
        <f t="shared" si="2"/>
        <v>6441</v>
      </c>
      <c r="L18" s="95">
        <v>5591</v>
      </c>
      <c r="M18" s="95"/>
      <c r="N18" s="95"/>
      <c r="O18" s="95">
        <f t="shared" si="13"/>
        <v>850</v>
      </c>
      <c r="P18" s="96">
        <f t="shared" si="3"/>
        <v>5545</v>
      </c>
      <c r="Q18" s="441">
        <v>4713</v>
      </c>
      <c r="R18" s="442"/>
      <c r="S18" s="442"/>
      <c r="T18" s="443">
        <f>847-15</f>
        <v>832</v>
      </c>
      <c r="U18" s="96">
        <f t="shared" si="4"/>
        <v>-896</v>
      </c>
      <c r="V18" s="126">
        <f t="shared" si="6"/>
        <v>-878</v>
      </c>
      <c r="W18" s="126">
        <f t="shared" si="7"/>
        <v>0</v>
      </c>
      <c r="X18" s="126">
        <f t="shared" si="8"/>
        <v>0</v>
      </c>
      <c r="Y18" s="94">
        <f t="shared" si="9"/>
        <v>-18</v>
      </c>
      <c r="Z18" s="96">
        <f t="shared" si="5"/>
        <v>0</v>
      </c>
      <c r="AA18" s="95"/>
      <c r="AB18" s="95">
        <v>0</v>
      </c>
      <c r="AC18" s="95">
        <v>0</v>
      </c>
      <c r="AD18" s="94"/>
      <c r="AE18" s="232">
        <f t="shared" si="10"/>
        <v>-4713</v>
      </c>
      <c r="AF18" s="424" t="e">
        <f t="shared" si="11"/>
        <v>#DIV/0!</v>
      </c>
      <c r="AG18" s="127">
        <f t="shared" si="12"/>
        <v>624</v>
      </c>
      <c r="AI18" s="39">
        <f>832-847</f>
        <v>-15</v>
      </c>
    </row>
    <row r="19" spans="2:35" ht="15" thickBot="1" x14ac:dyDescent="0.25">
      <c r="B19" s="100" t="s">
        <v>107</v>
      </c>
      <c r="C19" s="99" t="s">
        <v>77</v>
      </c>
      <c r="D19" s="98"/>
      <c r="E19" s="435" t="s">
        <v>123</v>
      </c>
      <c r="F19" s="96">
        <f t="shared" si="1"/>
        <v>1024</v>
      </c>
      <c r="G19" s="95">
        <v>858</v>
      </c>
      <c r="H19" s="95"/>
      <c r="I19" s="95"/>
      <c r="J19" s="95">
        <v>166</v>
      </c>
      <c r="K19" s="96">
        <f t="shared" si="2"/>
        <v>1024</v>
      </c>
      <c r="L19" s="95">
        <v>858</v>
      </c>
      <c r="M19" s="95"/>
      <c r="N19" s="95"/>
      <c r="O19" s="95">
        <f t="shared" si="13"/>
        <v>166</v>
      </c>
      <c r="P19" s="96">
        <f t="shared" si="3"/>
        <v>1016</v>
      </c>
      <c r="Q19" s="441">
        <v>794</v>
      </c>
      <c r="R19" s="442"/>
      <c r="S19" s="442"/>
      <c r="T19" s="443">
        <v>222</v>
      </c>
      <c r="U19" s="96">
        <f t="shared" si="4"/>
        <v>-8</v>
      </c>
      <c r="V19" s="126">
        <f t="shared" si="6"/>
        <v>-64</v>
      </c>
      <c r="W19" s="126">
        <f t="shared" si="7"/>
        <v>0</v>
      </c>
      <c r="X19" s="126">
        <f t="shared" si="8"/>
        <v>0</v>
      </c>
      <c r="Y19" s="94">
        <f t="shared" si="9"/>
        <v>56</v>
      </c>
      <c r="Z19" s="96">
        <f t="shared" si="5"/>
        <v>0</v>
      </c>
      <c r="AA19" s="95"/>
      <c r="AB19" s="95">
        <v>0</v>
      </c>
      <c r="AC19" s="95">
        <v>0</v>
      </c>
      <c r="AD19" s="94"/>
      <c r="AE19" s="232">
        <f t="shared" si="10"/>
        <v>-794</v>
      </c>
      <c r="AF19" s="424" t="e">
        <f t="shared" si="11"/>
        <v>#DIV/0!</v>
      </c>
      <c r="AG19" s="127">
        <f t="shared" si="12"/>
        <v>167</v>
      </c>
    </row>
    <row r="20" spans="2:35" ht="15" thickBot="1" x14ac:dyDescent="0.25">
      <c r="B20" s="100" t="s">
        <v>106</v>
      </c>
      <c r="C20" s="99" t="s">
        <v>77</v>
      </c>
      <c r="D20" s="98"/>
      <c r="E20" s="435" t="s">
        <v>124</v>
      </c>
      <c r="F20" s="96">
        <f t="shared" si="1"/>
        <v>3837</v>
      </c>
      <c r="G20" s="95">
        <v>2637</v>
      </c>
      <c r="H20" s="95"/>
      <c r="I20" s="95"/>
      <c r="J20" s="95">
        <v>1200</v>
      </c>
      <c r="K20" s="96">
        <f t="shared" si="2"/>
        <v>3837</v>
      </c>
      <c r="L20" s="95">
        <v>2637</v>
      </c>
      <c r="M20" s="95"/>
      <c r="N20" s="95"/>
      <c r="O20" s="95">
        <f t="shared" si="13"/>
        <v>1200</v>
      </c>
      <c r="P20" s="96">
        <f t="shared" si="3"/>
        <v>3874</v>
      </c>
      <c r="Q20" s="441">
        <v>2387</v>
      </c>
      <c r="R20" s="442"/>
      <c r="S20" s="442"/>
      <c r="T20" s="443">
        <v>1487</v>
      </c>
      <c r="U20" s="96">
        <f t="shared" si="4"/>
        <v>37</v>
      </c>
      <c r="V20" s="126">
        <f t="shared" si="6"/>
        <v>-250</v>
      </c>
      <c r="W20" s="126">
        <f t="shared" si="7"/>
        <v>0</v>
      </c>
      <c r="X20" s="126">
        <f t="shared" si="8"/>
        <v>0</v>
      </c>
      <c r="Y20" s="94">
        <f t="shared" si="9"/>
        <v>287</v>
      </c>
      <c r="Z20" s="96">
        <f t="shared" si="5"/>
        <v>0</v>
      </c>
      <c r="AA20" s="95"/>
      <c r="AB20" s="95">
        <v>0</v>
      </c>
      <c r="AC20" s="95">
        <v>0</v>
      </c>
      <c r="AD20" s="94"/>
      <c r="AE20" s="232">
        <f t="shared" si="10"/>
        <v>-2387</v>
      </c>
      <c r="AF20" s="424" t="e">
        <f t="shared" si="11"/>
        <v>#DIV/0!</v>
      </c>
      <c r="AG20" s="127">
        <f t="shared" si="12"/>
        <v>1115</v>
      </c>
    </row>
    <row r="21" spans="2:35" ht="15" thickBot="1" x14ac:dyDescent="0.25">
      <c r="B21" s="100" t="s">
        <v>105</v>
      </c>
      <c r="C21" s="99" t="s">
        <v>77</v>
      </c>
      <c r="D21" s="98"/>
      <c r="E21" s="435" t="s">
        <v>125</v>
      </c>
      <c r="F21" s="96">
        <f t="shared" si="1"/>
        <v>18188</v>
      </c>
      <c r="G21" s="95">
        <v>15907</v>
      </c>
      <c r="H21" s="95"/>
      <c r="I21" s="95"/>
      <c r="J21" s="95">
        <v>2281</v>
      </c>
      <c r="K21" s="96">
        <f t="shared" si="2"/>
        <v>18188</v>
      </c>
      <c r="L21" s="95">
        <v>15907</v>
      </c>
      <c r="M21" s="95"/>
      <c r="N21" s="95"/>
      <c r="O21" s="95">
        <f t="shared" si="13"/>
        <v>2281</v>
      </c>
      <c r="P21" s="96">
        <f t="shared" si="3"/>
        <v>14237</v>
      </c>
      <c r="Q21" s="441">
        <v>11802</v>
      </c>
      <c r="R21" s="442"/>
      <c r="S21" s="442"/>
      <c r="T21" s="443">
        <v>2435</v>
      </c>
      <c r="U21" s="96">
        <f t="shared" si="4"/>
        <v>-3951</v>
      </c>
      <c r="V21" s="126">
        <f t="shared" si="6"/>
        <v>-4105</v>
      </c>
      <c r="W21" s="126">
        <f t="shared" si="7"/>
        <v>0</v>
      </c>
      <c r="X21" s="126">
        <f t="shared" si="8"/>
        <v>0</v>
      </c>
      <c r="Y21" s="94">
        <f t="shared" si="9"/>
        <v>154</v>
      </c>
      <c r="Z21" s="96">
        <f t="shared" si="5"/>
        <v>0</v>
      </c>
      <c r="AA21" s="95"/>
      <c r="AB21" s="95">
        <v>0</v>
      </c>
      <c r="AC21" s="95">
        <v>0</v>
      </c>
      <c r="AD21" s="94"/>
      <c r="AE21" s="232">
        <f t="shared" si="10"/>
        <v>-11802</v>
      </c>
      <c r="AF21" s="424" t="e">
        <f t="shared" si="11"/>
        <v>#DIV/0!</v>
      </c>
      <c r="AG21" s="127">
        <f t="shared" si="12"/>
        <v>1826</v>
      </c>
    </row>
    <row r="22" spans="2:35" ht="15" thickBot="1" x14ac:dyDescent="0.25">
      <c r="B22" s="100" t="s">
        <v>104</v>
      </c>
      <c r="C22" s="99" t="s">
        <v>86</v>
      </c>
      <c r="D22" s="98"/>
      <c r="E22" s="435" t="s">
        <v>126</v>
      </c>
      <c r="F22" s="96">
        <f t="shared" si="1"/>
        <v>6446</v>
      </c>
      <c r="G22" s="95">
        <v>5052</v>
      </c>
      <c r="H22" s="95"/>
      <c r="I22" s="95"/>
      <c r="J22" s="95">
        <v>1394</v>
      </c>
      <c r="K22" s="96">
        <f t="shared" si="2"/>
        <v>8646</v>
      </c>
      <c r="L22" s="95">
        <v>7252</v>
      </c>
      <c r="M22" s="95"/>
      <c r="N22" s="95"/>
      <c r="O22" s="95">
        <f t="shared" si="13"/>
        <v>1394</v>
      </c>
      <c r="P22" s="96">
        <f t="shared" si="3"/>
        <v>8212</v>
      </c>
      <c r="Q22" s="441">
        <v>6823</v>
      </c>
      <c r="R22" s="442"/>
      <c r="S22" s="442"/>
      <c r="T22" s="443">
        <v>1389</v>
      </c>
      <c r="U22" s="96">
        <f t="shared" si="4"/>
        <v>1766</v>
      </c>
      <c r="V22" s="126">
        <f t="shared" si="6"/>
        <v>1771</v>
      </c>
      <c r="W22" s="126">
        <f t="shared" si="7"/>
        <v>0</v>
      </c>
      <c r="X22" s="126">
        <f t="shared" si="8"/>
        <v>0</v>
      </c>
      <c r="Y22" s="94">
        <f t="shared" si="9"/>
        <v>-5</v>
      </c>
      <c r="Z22" s="96">
        <f t="shared" si="5"/>
        <v>0</v>
      </c>
      <c r="AA22" s="95"/>
      <c r="AB22" s="95">
        <v>0</v>
      </c>
      <c r="AC22" s="95">
        <v>0</v>
      </c>
      <c r="AD22" s="94"/>
      <c r="AE22" s="232">
        <f t="shared" si="10"/>
        <v>-6823</v>
      </c>
      <c r="AF22" s="424" t="e">
        <f t="shared" si="11"/>
        <v>#DIV/0!</v>
      </c>
      <c r="AG22" s="127">
        <f t="shared" si="12"/>
        <v>1042</v>
      </c>
    </row>
    <row r="23" spans="2:35" ht="18" customHeight="1" thickBot="1" x14ac:dyDescent="0.25">
      <c r="B23" s="100" t="s">
        <v>103</v>
      </c>
      <c r="C23" s="99" t="s">
        <v>77</v>
      </c>
      <c r="D23" s="98"/>
      <c r="E23" s="435" t="s">
        <v>127</v>
      </c>
      <c r="F23" s="96">
        <f t="shared" si="1"/>
        <v>11763</v>
      </c>
      <c r="G23" s="95">
        <v>10703</v>
      </c>
      <c r="H23" s="95"/>
      <c r="I23" s="95"/>
      <c r="J23" s="95">
        <v>1060</v>
      </c>
      <c r="K23" s="96">
        <f t="shared" si="2"/>
        <v>14763</v>
      </c>
      <c r="L23" s="95">
        <v>13703</v>
      </c>
      <c r="M23" s="95"/>
      <c r="N23" s="95"/>
      <c r="O23" s="95">
        <f t="shared" si="13"/>
        <v>1060</v>
      </c>
      <c r="P23" s="96">
        <f t="shared" si="3"/>
        <v>11643</v>
      </c>
      <c r="Q23" s="441">
        <v>10353</v>
      </c>
      <c r="R23" s="442"/>
      <c r="S23" s="442"/>
      <c r="T23" s="443">
        <v>1290</v>
      </c>
      <c r="U23" s="96">
        <f t="shared" si="4"/>
        <v>-120</v>
      </c>
      <c r="V23" s="126">
        <f t="shared" si="6"/>
        <v>-350</v>
      </c>
      <c r="W23" s="126">
        <f t="shared" si="7"/>
        <v>0</v>
      </c>
      <c r="X23" s="126">
        <f t="shared" si="8"/>
        <v>0</v>
      </c>
      <c r="Y23" s="94">
        <f t="shared" si="9"/>
        <v>230</v>
      </c>
      <c r="Z23" s="96">
        <f t="shared" si="5"/>
        <v>0</v>
      </c>
      <c r="AA23" s="95"/>
      <c r="AB23" s="95">
        <v>0</v>
      </c>
      <c r="AC23" s="95">
        <v>0</v>
      </c>
      <c r="AD23" s="94"/>
      <c r="AE23" s="232">
        <f t="shared" si="10"/>
        <v>-10353</v>
      </c>
      <c r="AF23" s="424" t="e">
        <f t="shared" si="11"/>
        <v>#DIV/0!</v>
      </c>
      <c r="AG23" s="127">
        <f t="shared" si="12"/>
        <v>968</v>
      </c>
    </row>
    <row r="24" spans="2:35" ht="15" thickBot="1" x14ac:dyDescent="0.25">
      <c r="B24" s="100" t="s">
        <v>102</v>
      </c>
      <c r="C24" s="99" t="s">
        <v>91</v>
      </c>
      <c r="D24" s="98"/>
      <c r="E24" s="435" t="s">
        <v>128</v>
      </c>
      <c r="F24" s="96">
        <f t="shared" si="1"/>
        <v>4821</v>
      </c>
      <c r="G24" s="95">
        <v>4046</v>
      </c>
      <c r="H24" s="95"/>
      <c r="I24" s="95"/>
      <c r="J24" s="95">
        <v>775</v>
      </c>
      <c r="K24" s="96">
        <f t="shared" si="2"/>
        <v>4821</v>
      </c>
      <c r="L24" s="95">
        <v>4046</v>
      </c>
      <c r="M24" s="95"/>
      <c r="N24" s="95"/>
      <c r="O24" s="95">
        <f t="shared" si="13"/>
        <v>775</v>
      </c>
      <c r="P24" s="96">
        <f t="shared" si="3"/>
        <v>4702</v>
      </c>
      <c r="Q24" s="441">
        <v>3936</v>
      </c>
      <c r="R24" s="442"/>
      <c r="S24" s="442"/>
      <c r="T24" s="443">
        <v>766</v>
      </c>
      <c r="U24" s="96">
        <f t="shared" si="4"/>
        <v>-119</v>
      </c>
      <c r="V24" s="126">
        <f t="shared" si="6"/>
        <v>-110</v>
      </c>
      <c r="W24" s="126">
        <f t="shared" si="7"/>
        <v>0</v>
      </c>
      <c r="X24" s="126">
        <f t="shared" si="8"/>
        <v>0</v>
      </c>
      <c r="Y24" s="94">
        <f t="shared" si="9"/>
        <v>-9</v>
      </c>
      <c r="Z24" s="96">
        <f t="shared" si="5"/>
        <v>0</v>
      </c>
      <c r="AA24" s="95"/>
      <c r="AB24" s="95">
        <v>0</v>
      </c>
      <c r="AC24" s="95">
        <v>0</v>
      </c>
      <c r="AD24" s="94"/>
      <c r="AE24" s="232">
        <f t="shared" si="10"/>
        <v>-3936</v>
      </c>
      <c r="AF24" s="424" t="e">
        <f t="shared" si="11"/>
        <v>#DIV/0!</v>
      </c>
      <c r="AG24" s="127">
        <f t="shared" si="12"/>
        <v>575</v>
      </c>
    </row>
    <row r="25" spans="2:35" ht="15" thickBot="1" x14ac:dyDescent="0.25">
      <c r="B25" s="100" t="s">
        <v>101</v>
      </c>
      <c r="C25" s="99" t="s">
        <v>77</v>
      </c>
      <c r="D25" s="98"/>
      <c r="E25" s="435" t="s">
        <v>129</v>
      </c>
      <c r="F25" s="96">
        <f t="shared" si="1"/>
        <v>11167</v>
      </c>
      <c r="G25" s="95">
        <v>9160</v>
      </c>
      <c r="H25" s="95"/>
      <c r="I25" s="95"/>
      <c r="J25" s="95">
        <v>2007</v>
      </c>
      <c r="K25" s="96">
        <f t="shared" si="2"/>
        <v>15167</v>
      </c>
      <c r="L25" s="95">
        <v>13160</v>
      </c>
      <c r="M25" s="95"/>
      <c r="N25" s="95"/>
      <c r="O25" s="95">
        <f t="shared" si="13"/>
        <v>2007</v>
      </c>
      <c r="P25" s="96">
        <f t="shared" si="3"/>
        <v>10138</v>
      </c>
      <c r="Q25" s="441">
        <v>7909</v>
      </c>
      <c r="R25" s="442"/>
      <c r="S25" s="442"/>
      <c r="T25" s="443">
        <v>2229</v>
      </c>
      <c r="U25" s="96">
        <f t="shared" si="4"/>
        <v>-1029</v>
      </c>
      <c r="V25" s="126">
        <f t="shared" si="6"/>
        <v>-1251</v>
      </c>
      <c r="W25" s="126">
        <f t="shared" si="7"/>
        <v>0</v>
      </c>
      <c r="X25" s="126">
        <f t="shared" si="8"/>
        <v>0</v>
      </c>
      <c r="Y25" s="94">
        <f t="shared" si="9"/>
        <v>222</v>
      </c>
      <c r="Z25" s="96">
        <f t="shared" si="5"/>
        <v>0</v>
      </c>
      <c r="AA25" s="95"/>
      <c r="AB25" s="95">
        <v>0</v>
      </c>
      <c r="AC25" s="95">
        <v>0</v>
      </c>
      <c r="AD25" s="94"/>
      <c r="AE25" s="232">
        <f t="shared" si="10"/>
        <v>-7909</v>
      </c>
      <c r="AF25" s="424" t="e">
        <f t="shared" si="11"/>
        <v>#DIV/0!</v>
      </c>
      <c r="AG25" s="127">
        <f t="shared" si="12"/>
        <v>1672</v>
      </c>
    </row>
    <row r="26" spans="2:35" ht="15" thickBot="1" x14ac:dyDescent="0.25">
      <c r="B26" s="100" t="s">
        <v>99</v>
      </c>
      <c r="C26" s="99" t="s">
        <v>100</v>
      </c>
      <c r="D26" s="98"/>
      <c r="E26" s="435" t="s">
        <v>481</v>
      </c>
      <c r="F26" s="96">
        <f t="shared" si="1"/>
        <v>5970</v>
      </c>
      <c r="G26" s="95">
        <v>5690</v>
      </c>
      <c r="H26" s="95"/>
      <c r="I26" s="95"/>
      <c r="J26" s="95">
        <v>280</v>
      </c>
      <c r="K26" s="96">
        <f t="shared" si="2"/>
        <v>7870</v>
      </c>
      <c r="L26" s="95">
        <v>7590</v>
      </c>
      <c r="M26" s="95"/>
      <c r="N26" s="95"/>
      <c r="O26" s="95">
        <f t="shared" si="13"/>
        <v>280</v>
      </c>
      <c r="P26" s="96">
        <f t="shared" si="3"/>
        <v>4604</v>
      </c>
      <c r="Q26" s="441">
        <v>4312</v>
      </c>
      <c r="R26" s="442"/>
      <c r="S26" s="442"/>
      <c r="T26" s="443">
        <v>292</v>
      </c>
      <c r="U26" s="96">
        <f t="shared" si="4"/>
        <v>-1366</v>
      </c>
      <c r="V26" s="126">
        <f t="shared" si="6"/>
        <v>-1378</v>
      </c>
      <c r="W26" s="126">
        <f t="shared" si="7"/>
        <v>0</v>
      </c>
      <c r="X26" s="126">
        <f t="shared" si="8"/>
        <v>0</v>
      </c>
      <c r="Y26" s="94">
        <f t="shared" si="9"/>
        <v>12</v>
      </c>
      <c r="Z26" s="96">
        <f t="shared" si="5"/>
        <v>0</v>
      </c>
      <c r="AA26" s="95"/>
      <c r="AB26" s="95">
        <v>0</v>
      </c>
      <c r="AC26" s="95">
        <v>0</v>
      </c>
      <c r="AD26" s="94"/>
      <c r="AE26" s="232">
        <f t="shared" si="10"/>
        <v>-4312</v>
      </c>
      <c r="AF26" s="424" t="e">
        <f t="shared" si="11"/>
        <v>#DIV/0!</v>
      </c>
      <c r="AG26" s="127">
        <f t="shared" si="12"/>
        <v>219</v>
      </c>
    </row>
    <row r="27" spans="2:35" ht="15" thickBot="1" x14ac:dyDescent="0.25">
      <c r="B27" s="100" t="s">
        <v>98</v>
      </c>
      <c r="C27" s="99" t="s">
        <v>77</v>
      </c>
      <c r="D27" s="98"/>
      <c r="E27" s="435" t="s">
        <v>130</v>
      </c>
      <c r="F27" s="96">
        <f t="shared" si="1"/>
        <v>6357</v>
      </c>
      <c r="G27" s="95">
        <v>4453</v>
      </c>
      <c r="H27" s="95"/>
      <c r="I27" s="95"/>
      <c r="J27" s="95">
        <v>1904</v>
      </c>
      <c r="K27" s="96">
        <f t="shared" si="2"/>
        <v>6357</v>
      </c>
      <c r="L27" s="95">
        <v>4453</v>
      </c>
      <c r="M27" s="95"/>
      <c r="N27" s="95"/>
      <c r="O27" s="95">
        <f t="shared" si="13"/>
        <v>1904</v>
      </c>
      <c r="P27" s="96">
        <f t="shared" si="3"/>
        <v>5312</v>
      </c>
      <c r="Q27" s="441">
        <v>3395</v>
      </c>
      <c r="R27" s="442"/>
      <c r="S27" s="442"/>
      <c r="T27" s="443">
        <f>1952-35</f>
        <v>1917</v>
      </c>
      <c r="U27" s="96">
        <f t="shared" si="4"/>
        <v>-1045</v>
      </c>
      <c r="V27" s="126">
        <f t="shared" si="6"/>
        <v>-1058</v>
      </c>
      <c r="W27" s="126">
        <f t="shared" si="7"/>
        <v>0</v>
      </c>
      <c r="X27" s="126">
        <f t="shared" si="8"/>
        <v>0</v>
      </c>
      <c r="Y27" s="94">
        <f t="shared" si="9"/>
        <v>13</v>
      </c>
      <c r="Z27" s="96">
        <f t="shared" si="5"/>
        <v>0</v>
      </c>
      <c r="AA27" s="95"/>
      <c r="AB27" s="95">
        <v>0</v>
      </c>
      <c r="AC27" s="95">
        <v>0</v>
      </c>
      <c r="AD27" s="94"/>
      <c r="AE27" s="232">
        <f t="shared" si="10"/>
        <v>-3395</v>
      </c>
      <c r="AF27" s="424" t="e">
        <f t="shared" si="11"/>
        <v>#DIV/0!</v>
      </c>
      <c r="AG27" s="127">
        <f t="shared" si="12"/>
        <v>1438</v>
      </c>
      <c r="AI27" s="39">
        <f>-35</f>
        <v>-35</v>
      </c>
    </row>
    <row r="28" spans="2:35" ht="15" thickBot="1" x14ac:dyDescent="0.25">
      <c r="B28" s="100" t="s">
        <v>97</v>
      </c>
      <c r="C28" s="99" t="s">
        <v>77</v>
      </c>
      <c r="D28" s="98"/>
      <c r="E28" s="435" t="s">
        <v>131</v>
      </c>
      <c r="F28" s="96">
        <f t="shared" si="1"/>
        <v>3413</v>
      </c>
      <c r="G28" s="95">
        <v>3239</v>
      </c>
      <c r="H28" s="95"/>
      <c r="I28" s="95"/>
      <c r="J28" s="95">
        <v>174</v>
      </c>
      <c r="K28" s="96">
        <f t="shared" si="2"/>
        <v>3413</v>
      </c>
      <c r="L28" s="95">
        <v>3239</v>
      </c>
      <c r="M28" s="95"/>
      <c r="N28" s="95"/>
      <c r="O28" s="95">
        <f t="shared" si="13"/>
        <v>174</v>
      </c>
      <c r="P28" s="96">
        <f t="shared" si="3"/>
        <v>2816</v>
      </c>
      <c r="Q28" s="441">
        <v>2642</v>
      </c>
      <c r="R28" s="442"/>
      <c r="S28" s="442"/>
      <c r="T28" s="443">
        <v>174</v>
      </c>
      <c r="U28" s="96">
        <f t="shared" si="4"/>
        <v>-597</v>
      </c>
      <c r="V28" s="126">
        <f t="shared" si="6"/>
        <v>-597</v>
      </c>
      <c r="W28" s="126">
        <f t="shared" si="7"/>
        <v>0</v>
      </c>
      <c r="X28" s="126">
        <f t="shared" si="8"/>
        <v>0</v>
      </c>
      <c r="Y28" s="94">
        <f t="shared" si="9"/>
        <v>0</v>
      </c>
      <c r="Z28" s="96">
        <f t="shared" si="5"/>
        <v>0</v>
      </c>
      <c r="AA28" s="95"/>
      <c r="AB28" s="95">
        <v>0</v>
      </c>
      <c r="AC28" s="95">
        <v>0</v>
      </c>
      <c r="AD28" s="94"/>
      <c r="AE28" s="232">
        <f t="shared" si="10"/>
        <v>-2642</v>
      </c>
      <c r="AF28" s="424" t="e">
        <f t="shared" si="11"/>
        <v>#DIV/0!</v>
      </c>
      <c r="AG28" s="127">
        <f t="shared" si="12"/>
        <v>131</v>
      </c>
    </row>
    <row r="29" spans="2:35" ht="15" thickBot="1" x14ac:dyDescent="0.25">
      <c r="B29" s="100" t="s">
        <v>96</v>
      </c>
      <c r="C29" s="99" t="s">
        <v>77</v>
      </c>
      <c r="D29" s="98"/>
      <c r="E29" s="435" t="s">
        <v>132</v>
      </c>
      <c r="F29" s="96">
        <f t="shared" si="1"/>
        <v>7349</v>
      </c>
      <c r="G29" s="95">
        <v>6349</v>
      </c>
      <c r="H29" s="95"/>
      <c r="I29" s="95"/>
      <c r="J29" s="95">
        <v>1000</v>
      </c>
      <c r="K29" s="96">
        <f t="shared" si="2"/>
        <v>7349</v>
      </c>
      <c r="L29" s="95">
        <v>6349</v>
      </c>
      <c r="M29" s="95"/>
      <c r="N29" s="95"/>
      <c r="O29" s="95">
        <f t="shared" si="13"/>
        <v>1000</v>
      </c>
      <c r="P29" s="96">
        <f t="shared" si="3"/>
        <v>5421</v>
      </c>
      <c r="Q29" s="441">
        <v>4458</v>
      </c>
      <c r="R29" s="442"/>
      <c r="S29" s="442"/>
      <c r="T29" s="443">
        <v>963</v>
      </c>
      <c r="U29" s="96">
        <f t="shared" si="4"/>
        <v>-1928</v>
      </c>
      <c r="V29" s="126">
        <f t="shared" si="6"/>
        <v>-1891</v>
      </c>
      <c r="W29" s="126">
        <f t="shared" si="7"/>
        <v>0</v>
      </c>
      <c r="X29" s="126">
        <f t="shared" si="8"/>
        <v>0</v>
      </c>
      <c r="Y29" s="94">
        <f t="shared" si="9"/>
        <v>-37</v>
      </c>
      <c r="Z29" s="96">
        <f t="shared" si="5"/>
        <v>0</v>
      </c>
      <c r="AA29" s="95"/>
      <c r="AB29" s="95">
        <v>0</v>
      </c>
      <c r="AC29" s="95">
        <v>0</v>
      </c>
      <c r="AD29" s="94"/>
      <c r="AE29" s="232">
        <f t="shared" si="10"/>
        <v>-4458</v>
      </c>
      <c r="AF29" s="424" t="e">
        <f t="shared" si="11"/>
        <v>#DIV/0!</v>
      </c>
      <c r="AG29" s="127">
        <f t="shared" si="12"/>
        <v>722</v>
      </c>
    </row>
    <row r="30" spans="2:35" ht="15" thickBot="1" x14ac:dyDescent="0.25">
      <c r="B30" s="100" t="s">
        <v>95</v>
      </c>
      <c r="C30" s="99" t="s">
        <v>94</v>
      </c>
      <c r="D30" s="98"/>
      <c r="E30" s="435" t="s">
        <v>133</v>
      </c>
      <c r="F30" s="96">
        <f t="shared" si="1"/>
        <v>1980</v>
      </c>
      <c r="G30" s="95">
        <v>1808</v>
      </c>
      <c r="H30" s="95"/>
      <c r="I30" s="95"/>
      <c r="J30" s="95">
        <v>172</v>
      </c>
      <c r="K30" s="96">
        <f t="shared" si="2"/>
        <v>2980</v>
      </c>
      <c r="L30" s="95">
        <v>2808</v>
      </c>
      <c r="M30" s="95"/>
      <c r="N30" s="95"/>
      <c r="O30" s="95">
        <f t="shared" si="13"/>
        <v>172</v>
      </c>
      <c r="P30" s="96">
        <f t="shared" si="3"/>
        <v>2411</v>
      </c>
      <c r="Q30" s="441">
        <v>2234</v>
      </c>
      <c r="R30" s="442"/>
      <c r="S30" s="442"/>
      <c r="T30" s="443">
        <v>177</v>
      </c>
      <c r="U30" s="96">
        <f t="shared" si="4"/>
        <v>431</v>
      </c>
      <c r="V30" s="126">
        <f t="shared" si="6"/>
        <v>426</v>
      </c>
      <c r="W30" s="126">
        <f t="shared" si="7"/>
        <v>0</v>
      </c>
      <c r="X30" s="126">
        <f t="shared" si="8"/>
        <v>0</v>
      </c>
      <c r="Y30" s="94">
        <f t="shared" si="9"/>
        <v>5</v>
      </c>
      <c r="Z30" s="96">
        <f t="shared" si="5"/>
        <v>0</v>
      </c>
      <c r="AA30" s="95"/>
      <c r="AB30" s="95">
        <v>0</v>
      </c>
      <c r="AC30" s="95">
        <v>0</v>
      </c>
      <c r="AD30" s="94"/>
      <c r="AE30" s="232">
        <f t="shared" si="10"/>
        <v>-2234</v>
      </c>
      <c r="AF30" s="424" t="e">
        <f t="shared" si="11"/>
        <v>#DIV/0!</v>
      </c>
      <c r="AG30" s="127">
        <f t="shared" si="12"/>
        <v>133</v>
      </c>
    </row>
    <row r="31" spans="2:35" ht="15" thickBot="1" x14ac:dyDescent="0.25">
      <c r="B31" s="100" t="s">
        <v>93</v>
      </c>
      <c r="C31" s="99" t="s">
        <v>94</v>
      </c>
      <c r="D31" s="98"/>
      <c r="E31" s="435" t="s">
        <v>134</v>
      </c>
      <c r="F31" s="96">
        <f t="shared" si="1"/>
        <v>596</v>
      </c>
      <c r="G31" s="95">
        <v>386</v>
      </c>
      <c r="H31" s="95"/>
      <c r="I31" s="95"/>
      <c r="J31" s="95">
        <v>210</v>
      </c>
      <c r="K31" s="96">
        <f t="shared" si="2"/>
        <v>1096</v>
      </c>
      <c r="L31" s="95">
        <v>886</v>
      </c>
      <c r="M31" s="95"/>
      <c r="N31" s="95"/>
      <c r="O31" s="95">
        <f t="shared" si="13"/>
        <v>210</v>
      </c>
      <c r="P31" s="96">
        <f t="shared" si="3"/>
        <v>592</v>
      </c>
      <c r="Q31" s="441">
        <v>382</v>
      </c>
      <c r="R31" s="442"/>
      <c r="S31" s="442"/>
      <c r="T31" s="443">
        <v>210</v>
      </c>
      <c r="U31" s="96">
        <f t="shared" si="4"/>
        <v>-4</v>
      </c>
      <c r="V31" s="126">
        <f t="shared" si="6"/>
        <v>-4</v>
      </c>
      <c r="W31" s="126">
        <f t="shared" si="7"/>
        <v>0</v>
      </c>
      <c r="X31" s="126">
        <f t="shared" si="8"/>
        <v>0</v>
      </c>
      <c r="Y31" s="94">
        <f t="shared" si="9"/>
        <v>0</v>
      </c>
      <c r="Z31" s="96">
        <f t="shared" si="5"/>
        <v>0</v>
      </c>
      <c r="AA31" s="95"/>
      <c r="AB31" s="95">
        <v>0</v>
      </c>
      <c r="AC31" s="95">
        <v>0</v>
      </c>
      <c r="AD31" s="94"/>
      <c r="AE31" s="232">
        <f t="shared" si="10"/>
        <v>-382</v>
      </c>
      <c r="AF31" s="424" t="e">
        <f t="shared" si="11"/>
        <v>#DIV/0!</v>
      </c>
      <c r="AG31" s="127">
        <f t="shared" si="12"/>
        <v>158</v>
      </c>
    </row>
    <row r="32" spans="2:35" ht="15" thickBot="1" x14ac:dyDescent="0.25">
      <c r="B32" s="100" t="s">
        <v>92</v>
      </c>
      <c r="C32" s="99" t="s">
        <v>77</v>
      </c>
      <c r="D32" s="98"/>
      <c r="E32" s="435" t="s">
        <v>135</v>
      </c>
      <c r="F32" s="96">
        <f t="shared" si="1"/>
        <v>3019</v>
      </c>
      <c r="G32" s="95">
        <v>2588</v>
      </c>
      <c r="H32" s="95"/>
      <c r="I32" s="95"/>
      <c r="J32" s="95">
        <v>431</v>
      </c>
      <c r="K32" s="96">
        <f t="shared" si="2"/>
        <v>3019</v>
      </c>
      <c r="L32" s="95">
        <v>2588</v>
      </c>
      <c r="M32" s="95"/>
      <c r="N32" s="95"/>
      <c r="O32" s="95">
        <f t="shared" si="13"/>
        <v>431</v>
      </c>
      <c r="P32" s="96">
        <f t="shared" si="3"/>
        <v>2992</v>
      </c>
      <c r="Q32" s="441">
        <v>2562</v>
      </c>
      <c r="R32" s="442"/>
      <c r="S32" s="442"/>
      <c r="T32" s="443">
        <v>430</v>
      </c>
      <c r="U32" s="96">
        <f t="shared" si="4"/>
        <v>-27</v>
      </c>
      <c r="V32" s="126">
        <f t="shared" si="6"/>
        <v>-26</v>
      </c>
      <c r="W32" s="126">
        <f t="shared" si="7"/>
        <v>0</v>
      </c>
      <c r="X32" s="126">
        <f t="shared" si="8"/>
        <v>0</v>
      </c>
      <c r="Y32" s="94">
        <f t="shared" si="9"/>
        <v>-1</v>
      </c>
      <c r="Z32" s="96">
        <f t="shared" si="5"/>
        <v>0</v>
      </c>
      <c r="AA32" s="95"/>
      <c r="AB32" s="95">
        <v>0</v>
      </c>
      <c r="AC32" s="95">
        <v>0</v>
      </c>
      <c r="AD32" s="94"/>
      <c r="AE32" s="232">
        <f t="shared" si="10"/>
        <v>-2562</v>
      </c>
      <c r="AF32" s="424" t="e">
        <f t="shared" si="11"/>
        <v>#DIV/0!</v>
      </c>
      <c r="AG32" s="127">
        <f t="shared" si="12"/>
        <v>323</v>
      </c>
    </row>
    <row r="33" spans="1:35" ht="15" thickBot="1" x14ac:dyDescent="0.25">
      <c r="B33" s="100" t="s">
        <v>90</v>
      </c>
      <c r="C33" s="99" t="s">
        <v>91</v>
      </c>
      <c r="D33" s="98"/>
      <c r="E33" s="435" t="s">
        <v>136</v>
      </c>
      <c r="F33" s="96">
        <f t="shared" si="1"/>
        <v>1108</v>
      </c>
      <c r="G33" s="95">
        <v>1022</v>
      </c>
      <c r="H33" s="95"/>
      <c r="I33" s="95"/>
      <c r="J33" s="95">
        <v>86</v>
      </c>
      <c r="K33" s="96">
        <f t="shared" si="2"/>
        <v>1508</v>
      </c>
      <c r="L33" s="95">
        <v>1422</v>
      </c>
      <c r="M33" s="95"/>
      <c r="N33" s="95"/>
      <c r="O33" s="95">
        <f t="shared" si="13"/>
        <v>86</v>
      </c>
      <c r="P33" s="96">
        <f t="shared" si="3"/>
        <v>1058</v>
      </c>
      <c r="Q33" s="441">
        <v>1044</v>
      </c>
      <c r="R33" s="442"/>
      <c r="S33" s="442"/>
      <c r="T33" s="443">
        <f>84-70</f>
        <v>14</v>
      </c>
      <c r="U33" s="96">
        <f t="shared" si="4"/>
        <v>-50</v>
      </c>
      <c r="V33" s="126">
        <f t="shared" si="6"/>
        <v>22</v>
      </c>
      <c r="W33" s="126">
        <f t="shared" si="7"/>
        <v>0</v>
      </c>
      <c r="X33" s="126">
        <f t="shared" si="8"/>
        <v>0</v>
      </c>
      <c r="Y33" s="94">
        <f t="shared" si="9"/>
        <v>-72</v>
      </c>
      <c r="Z33" s="96">
        <f t="shared" si="5"/>
        <v>0</v>
      </c>
      <c r="AA33" s="95"/>
      <c r="AB33" s="95">
        <v>0</v>
      </c>
      <c r="AC33" s="95">
        <v>0</v>
      </c>
      <c r="AD33" s="94"/>
      <c r="AE33" s="232">
        <f t="shared" si="10"/>
        <v>-1044</v>
      </c>
      <c r="AF33" s="424" t="e">
        <f t="shared" si="11"/>
        <v>#DIV/0!</v>
      </c>
      <c r="AG33" s="127">
        <f t="shared" si="12"/>
        <v>11</v>
      </c>
      <c r="AI33" s="39">
        <f>-70</f>
        <v>-70</v>
      </c>
    </row>
    <row r="34" spans="1:35" ht="15" thickBot="1" x14ac:dyDescent="0.25">
      <c r="B34" s="100" t="s">
        <v>89</v>
      </c>
      <c r="C34" s="99" t="s">
        <v>77</v>
      </c>
      <c r="D34" s="98"/>
      <c r="E34" s="435" t="s">
        <v>137</v>
      </c>
      <c r="F34" s="96">
        <f t="shared" si="1"/>
        <v>9671</v>
      </c>
      <c r="G34" s="95">
        <v>8641</v>
      </c>
      <c r="H34" s="95"/>
      <c r="I34" s="95"/>
      <c r="J34" s="95">
        <v>1030</v>
      </c>
      <c r="K34" s="96">
        <f t="shared" si="2"/>
        <v>9671</v>
      </c>
      <c r="L34" s="95">
        <v>8641</v>
      </c>
      <c r="M34" s="95"/>
      <c r="N34" s="95"/>
      <c r="O34" s="95">
        <f t="shared" si="13"/>
        <v>1030</v>
      </c>
      <c r="P34" s="96">
        <f t="shared" si="3"/>
        <v>5118</v>
      </c>
      <c r="Q34" s="441">
        <v>4125</v>
      </c>
      <c r="R34" s="442"/>
      <c r="S34" s="442"/>
      <c r="T34" s="443">
        <v>993</v>
      </c>
      <c r="U34" s="96">
        <f t="shared" si="4"/>
        <v>-4553</v>
      </c>
      <c r="V34" s="126">
        <f t="shared" si="6"/>
        <v>-4516</v>
      </c>
      <c r="W34" s="126">
        <f t="shared" si="7"/>
        <v>0</v>
      </c>
      <c r="X34" s="126">
        <f t="shared" si="8"/>
        <v>0</v>
      </c>
      <c r="Y34" s="94">
        <f t="shared" si="9"/>
        <v>-37</v>
      </c>
      <c r="Z34" s="96">
        <f t="shared" si="5"/>
        <v>0</v>
      </c>
      <c r="AA34" s="95"/>
      <c r="AB34" s="95">
        <v>0</v>
      </c>
      <c r="AC34" s="95">
        <v>0</v>
      </c>
      <c r="AD34" s="94"/>
      <c r="AE34" s="232">
        <f t="shared" si="10"/>
        <v>-4125</v>
      </c>
      <c r="AF34" s="424" t="e">
        <f t="shared" si="11"/>
        <v>#DIV/0!</v>
      </c>
      <c r="AG34" s="127">
        <f t="shared" si="12"/>
        <v>745</v>
      </c>
    </row>
    <row r="35" spans="1:35" ht="15" thickBot="1" x14ac:dyDescent="0.25">
      <c r="B35" s="100" t="s">
        <v>88</v>
      </c>
      <c r="C35" s="99" t="s">
        <v>77</v>
      </c>
      <c r="D35" s="98"/>
      <c r="E35" s="435" t="s">
        <v>138</v>
      </c>
      <c r="F35" s="96">
        <f t="shared" si="1"/>
        <v>2741</v>
      </c>
      <c r="G35" s="95">
        <v>2568</v>
      </c>
      <c r="H35" s="95"/>
      <c r="I35" s="95"/>
      <c r="J35" s="95">
        <v>173</v>
      </c>
      <c r="K35" s="96">
        <f t="shared" si="2"/>
        <v>2741</v>
      </c>
      <c r="L35" s="95">
        <v>2568</v>
      </c>
      <c r="M35" s="95"/>
      <c r="N35" s="95"/>
      <c r="O35" s="95">
        <f t="shared" si="13"/>
        <v>173</v>
      </c>
      <c r="P35" s="96">
        <f t="shared" si="3"/>
        <v>1777</v>
      </c>
      <c r="Q35" s="441">
        <v>1478</v>
      </c>
      <c r="R35" s="442"/>
      <c r="S35" s="442"/>
      <c r="T35" s="443">
        <v>299</v>
      </c>
      <c r="U35" s="96">
        <f t="shared" si="4"/>
        <v>-964</v>
      </c>
      <c r="V35" s="126">
        <f t="shared" si="6"/>
        <v>-1090</v>
      </c>
      <c r="W35" s="126">
        <f t="shared" si="7"/>
        <v>0</v>
      </c>
      <c r="X35" s="126">
        <f t="shared" si="8"/>
        <v>0</v>
      </c>
      <c r="Y35" s="94">
        <f t="shared" si="9"/>
        <v>126</v>
      </c>
      <c r="Z35" s="96">
        <f t="shared" si="5"/>
        <v>0</v>
      </c>
      <c r="AA35" s="95"/>
      <c r="AB35" s="95">
        <v>0</v>
      </c>
      <c r="AC35" s="95">
        <v>0</v>
      </c>
      <c r="AD35" s="94"/>
      <c r="AE35" s="232">
        <f t="shared" si="10"/>
        <v>-1478</v>
      </c>
      <c r="AF35" s="424" t="e">
        <f t="shared" si="11"/>
        <v>#DIV/0!</v>
      </c>
      <c r="AG35" s="127">
        <f t="shared" si="12"/>
        <v>224</v>
      </c>
    </row>
    <row r="36" spans="1:35" ht="15" thickBot="1" x14ac:dyDescent="0.25">
      <c r="B36" s="100" t="s">
        <v>87</v>
      </c>
      <c r="C36" s="99" t="s">
        <v>77</v>
      </c>
      <c r="D36" s="98"/>
      <c r="E36" s="435" t="s">
        <v>139</v>
      </c>
      <c r="F36" s="96">
        <f t="shared" si="1"/>
        <v>6374</v>
      </c>
      <c r="G36" s="95">
        <v>5153</v>
      </c>
      <c r="H36" s="95"/>
      <c r="I36" s="95"/>
      <c r="J36" s="95">
        <v>1221</v>
      </c>
      <c r="K36" s="96">
        <f t="shared" si="2"/>
        <v>6374</v>
      </c>
      <c r="L36" s="95">
        <v>5153</v>
      </c>
      <c r="M36" s="95"/>
      <c r="N36" s="95"/>
      <c r="O36" s="95">
        <f t="shared" si="13"/>
        <v>1221</v>
      </c>
      <c r="P36" s="96">
        <f t="shared" si="3"/>
        <v>4805</v>
      </c>
      <c r="Q36" s="441">
        <v>3633</v>
      </c>
      <c r="R36" s="442"/>
      <c r="S36" s="442"/>
      <c r="T36" s="443">
        <v>1172</v>
      </c>
      <c r="U36" s="96">
        <f t="shared" si="4"/>
        <v>-1569</v>
      </c>
      <c r="V36" s="126">
        <f t="shared" si="6"/>
        <v>-1520</v>
      </c>
      <c r="W36" s="126">
        <f t="shared" si="7"/>
        <v>0</v>
      </c>
      <c r="X36" s="126">
        <f t="shared" si="8"/>
        <v>0</v>
      </c>
      <c r="Y36" s="94">
        <f t="shared" si="9"/>
        <v>-49</v>
      </c>
      <c r="Z36" s="96">
        <f t="shared" si="5"/>
        <v>0</v>
      </c>
      <c r="AA36" s="95"/>
      <c r="AB36" s="95">
        <v>0</v>
      </c>
      <c r="AC36" s="95">
        <v>0</v>
      </c>
      <c r="AD36" s="94"/>
      <c r="AE36" s="232">
        <f t="shared" si="10"/>
        <v>-3633</v>
      </c>
      <c r="AF36" s="424" t="e">
        <f t="shared" si="11"/>
        <v>#DIV/0!</v>
      </c>
      <c r="AG36" s="127">
        <f t="shared" si="12"/>
        <v>879</v>
      </c>
    </row>
    <row r="37" spans="1:35" ht="15" thickBot="1" x14ac:dyDescent="0.25">
      <c r="B37" s="100" t="s">
        <v>85</v>
      </c>
      <c r="C37" s="99" t="s">
        <v>86</v>
      </c>
      <c r="D37" s="98"/>
      <c r="E37" s="435" t="s">
        <v>140</v>
      </c>
      <c r="F37" s="96">
        <f t="shared" si="1"/>
        <v>1520</v>
      </c>
      <c r="G37" s="95">
        <v>1298</v>
      </c>
      <c r="H37" s="95"/>
      <c r="I37" s="95"/>
      <c r="J37" s="95">
        <v>222</v>
      </c>
      <c r="K37" s="96">
        <f t="shared" si="2"/>
        <v>2520</v>
      </c>
      <c r="L37" s="95">
        <v>2298</v>
      </c>
      <c r="M37" s="95"/>
      <c r="N37" s="95"/>
      <c r="O37" s="95">
        <f t="shared" si="13"/>
        <v>222</v>
      </c>
      <c r="P37" s="96">
        <f t="shared" si="3"/>
        <v>2137</v>
      </c>
      <c r="Q37" s="441">
        <v>1905</v>
      </c>
      <c r="R37" s="442"/>
      <c r="S37" s="442"/>
      <c r="T37" s="443">
        <v>232</v>
      </c>
      <c r="U37" s="96">
        <f t="shared" si="4"/>
        <v>617</v>
      </c>
      <c r="V37" s="126">
        <f t="shared" si="6"/>
        <v>607</v>
      </c>
      <c r="W37" s="126">
        <f t="shared" si="7"/>
        <v>0</v>
      </c>
      <c r="X37" s="126">
        <f t="shared" si="8"/>
        <v>0</v>
      </c>
      <c r="Y37" s="94">
        <f t="shared" si="9"/>
        <v>10</v>
      </c>
      <c r="Z37" s="96">
        <f t="shared" si="5"/>
        <v>0</v>
      </c>
      <c r="AA37" s="95"/>
      <c r="AB37" s="95">
        <v>0</v>
      </c>
      <c r="AC37" s="95">
        <v>0</v>
      </c>
      <c r="AD37" s="94"/>
      <c r="AE37" s="232">
        <f t="shared" si="10"/>
        <v>-1905</v>
      </c>
      <c r="AF37" s="424" t="e">
        <f t="shared" si="11"/>
        <v>#DIV/0!</v>
      </c>
      <c r="AG37" s="127">
        <f t="shared" si="12"/>
        <v>174</v>
      </c>
    </row>
    <row r="38" spans="1:35" ht="14.25" customHeight="1" thickBot="1" x14ac:dyDescent="0.25">
      <c r="B38" s="100" t="s">
        <v>84</v>
      </c>
      <c r="C38" s="99" t="s">
        <v>77</v>
      </c>
      <c r="D38" s="98"/>
      <c r="E38" s="435" t="s">
        <v>141</v>
      </c>
      <c r="F38" s="96">
        <f t="shared" si="1"/>
        <v>12229</v>
      </c>
      <c r="G38" s="95">
        <v>8282</v>
      </c>
      <c r="H38" s="95"/>
      <c r="I38" s="95"/>
      <c r="J38" s="95">
        <v>3947</v>
      </c>
      <c r="K38" s="96">
        <f t="shared" si="2"/>
        <v>13469</v>
      </c>
      <c r="L38" s="95">
        <v>9522</v>
      </c>
      <c r="M38" s="95"/>
      <c r="N38" s="95"/>
      <c r="O38" s="95">
        <f t="shared" si="13"/>
        <v>3947</v>
      </c>
      <c r="P38" s="96">
        <f t="shared" si="3"/>
        <v>10786</v>
      </c>
      <c r="Q38" s="441">
        <v>6888</v>
      </c>
      <c r="R38" s="442"/>
      <c r="S38" s="442"/>
      <c r="T38" s="443">
        <f>3888+10</f>
        <v>3898</v>
      </c>
      <c r="U38" s="96">
        <f t="shared" si="4"/>
        <v>-1443</v>
      </c>
      <c r="V38" s="126">
        <f t="shared" si="6"/>
        <v>-1394</v>
      </c>
      <c r="W38" s="126">
        <f t="shared" si="7"/>
        <v>0</v>
      </c>
      <c r="X38" s="126">
        <f t="shared" si="8"/>
        <v>0</v>
      </c>
      <c r="Y38" s="94">
        <f t="shared" si="9"/>
        <v>-49</v>
      </c>
      <c r="Z38" s="96">
        <f t="shared" si="5"/>
        <v>0</v>
      </c>
      <c r="AA38" s="95"/>
      <c r="AB38" s="95">
        <v>0</v>
      </c>
      <c r="AC38" s="95">
        <v>0</v>
      </c>
      <c r="AD38" s="94"/>
      <c r="AE38" s="232">
        <f t="shared" si="10"/>
        <v>-6888</v>
      </c>
      <c r="AF38" s="424" t="e">
        <f t="shared" si="11"/>
        <v>#DIV/0!</v>
      </c>
      <c r="AG38" s="127">
        <f t="shared" si="12"/>
        <v>2924</v>
      </c>
      <c r="AI38" s="39">
        <v>10</v>
      </c>
    </row>
    <row r="39" spans="1:35" ht="15" thickBot="1" x14ac:dyDescent="0.25">
      <c r="B39" s="100" t="s">
        <v>83</v>
      </c>
      <c r="C39" s="99" t="s">
        <v>77</v>
      </c>
      <c r="D39" s="98"/>
      <c r="E39" s="435" t="s">
        <v>142</v>
      </c>
      <c r="F39" s="96">
        <f t="shared" si="1"/>
        <v>2723</v>
      </c>
      <c r="G39" s="95">
        <v>2083</v>
      </c>
      <c r="H39" s="95"/>
      <c r="I39" s="95"/>
      <c r="J39" s="95">
        <v>640</v>
      </c>
      <c r="K39" s="96">
        <f t="shared" si="2"/>
        <v>2723</v>
      </c>
      <c r="L39" s="95">
        <v>2083</v>
      </c>
      <c r="M39" s="95"/>
      <c r="N39" s="95"/>
      <c r="O39" s="95">
        <f t="shared" si="13"/>
        <v>640</v>
      </c>
      <c r="P39" s="96">
        <f t="shared" si="3"/>
        <v>3987</v>
      </c>
      <c r="Q39" s="441">
        <v>2649</v>
      </c>
      <c r="R39" s="442"/>
      <c r="S39" s="442"/>
      <c r="T39" s="443">
        <v>1338</v>
      </c>
      <c r="U39" s="96">
        <f t="shared" si="4"/>
        <v>1264</v>
      </c>
      <c r="V39" s="126">
        <f t="shared" si="6"/>
        <v>566</v>
      </c>
      <c r="W39" s="126">
        <f t="shared" si="7"/>
        <v>0</v>
      </c>
      <c r="X39" s="126">
        <f t="shared" si="8"/>
        <v>0</v>
      </c>
      <c r="Y39" s="94">
        <f t="shared" si="9"/>
        <v>698</v>
      </c>
      <c r="Z39" s="96">
        <f t="shared" si="5"/>
        <v>0</v>
      </c>
      <c r="AA39" s="95"/>
      <c r="AB39" s="95">
        <v>0</v>
      </c>
      <c r="AC39" s="95">
        <v>0</v>
      </c>
      <c r="AD39" s="94"/>
      <c r="AE39" s="232">
        <f t="shared" si="10"/>
        <v>-2649</v>
      </c>
      <c r="AF39" s="424" t="e">
        <f t="shared" si="11"/>
        <v>#DIV/0!</v>
      </c>
      <c r="AG39" s="127">
        <f t="shared" si="12"/>
        <v>1004</v>
      </c>
    </row>
    <row r="40" spans="1:35" ht="15" thickBot="1" x14ac:dyDescent="0.25">
      <c r="B40" s="100" t="s">
        <v>82</v>
      </c>
      <c r="C40" s="99" t="s">
        <v>77</v>
      </c>
      <c r="D40" s="98"/>
      <c r="E40" s="435" t="s">
        <v>143</v>
      </c>
      <c r="F40" s="96">
        <f t="shared" si="1"/>
        <v>5269</v>
      </c>
      <c r="G40" s="95">
        <v>4842</v>
      </c>
      <c r="H40" s="95"/>
      <c r="I40" s="95"/>
      <c r="J40" s="95">
        <v>427</v>
      </c>
      <c r="K40" s="96">
        <f t="shared" si="2"/>
        <v>5269</v>
      </c>
      <c r="L40" s="95">
        <v>4842</v>
      </c>
      <c r="M40" s="95"/>
      <c r="N40" s="95"/>
      <c r="O40" s="95">
        <f t="shared" si="13"/>
        <v>427</v>
      </c>
      <c r="P40" s="96">
        <f t="shared" si="3"/>
        <v>3016</v>
      </c>
      <c r="Q40" s="441">
        <v>2607</v>
      </c>
      <c r="R40" s="442"/>
      <c r="S40" s="442"/>
      <c r="T40" s="443">
        <v>409</v>
      </c>
      <c r="U40" s="96">
        <f t="shared" si="4"/>
        <v>-2253</v>
      </c>
      <c r="V40" s="126">
        <f t="shared" si="6"/>
        <v>-2235</v>
      </c>
      <c r="W40" s="126">
        <f t="shared" si="7"/>
        <v>0</v>
      </c>
      <c r="X40" s="126">
        <f t="shared" si="8"/>
        <v>0</v>
      </c>
      <c r="Y40" s="94">
        <f t="shared" si="9"/>
        <v>-18</v>
      </c>
      <c r="Z40" s="96">
        <f t="shared" si="5"/>
        <v>0</v>
      </c>
      <c r="AA40" s="95"/>
      <c r="AB40" s="95">
        <v>0</v>
      </c>
      <c r="AC40" s="95">
        <v>0</v>
      </c>
      <c r="AD40" s="94"/>
      <c r="AE40" s="232">
        <f t="shared" si="10"/>
        <v>-2607</v>
      </c>
      <c r="AF40" s="424" t="e">
        <f t="shared" si="11"/>
        <v>#DIV/0!</v>
      </c>
      <c r="AG40" s="127">
        <f t="shared" si="12"/>
        <v>307</v>
      </c>
    </row>
    <row r="41" spans="1:35" ht="15" thickBot="1" x14ac:dyDescent="0.25">
      <c r="B41" s="100" t="s">
        <v>81</v>
      </c>
      <c r="C41" s="99" t="s">
        <v>77</v>
      </c>
      <c r="D41" s="98"/>
      <c r="E41" s="435" t="s">
        <v>144</v>
      </c>
      <c r="F41" s="96">
        <f t="shared" si="1"/>
        <v>5466</v>
      </c>
      <c r="G41" s="95">
        <v>3078</v>
      </c>
      <c r="H41" s="95"/>
      <c r="I41" s="95"/>
      <c r="J41" s="95">
        <v>2388</v>
      </c>
      <c r="K41" s="96">
        <f t="shared" si="2"/>
        <v>5466</v>
      </c>
      <c r="L41" s="95">
        <v>3078</v>
      </c>
      <c r="M41" s="95"/>
      <c r="N41" s="95"/>
      <c r="O41" s="95">
        <f t="shared" si="13"/>
        <v>2388</v>
      </c>
      <c r="P41" s="96">
        <f t="shared" si="3"/>
        <v>5391</v>
      </c>
      <c r="Q41" s="441">
        <v>3047</v>
      </c>
      <c r="R41" s="442"/>
      <c r="S41" s="442"/>
      <c r="T41" s="443">
        <v>2344</v>
      </c>
      <c r="U41" s="96">
        <f t="shared" si="4"/>
        <v>-75</v>
      </c>
      <c r="V41" s="126">
        <f t="shared" si="6"/>
        <v>-31</v>
      </c>
      <c r="W41" s="126">
        <f t="shared" si="7"/>
        <v>0</v>
      </c>
      <c r="X41" s="126">
        <f t="shared" si="8"/>
        <v>0</v>
      </c>
      <c r="Y41" s="94">
        <f t="shared" si="9"/>
        <v>-44</v>
      </c>
      <c r="Z41" s="96">
        <f t="shared" si="5"/>
        <v>0</v>
      </c>
      <c r="AA41" s="95"/>
      <c r="AB41" s="95">
        <v>0</v>
      </c>
      <c r="AC41" s="95">
        <v>0</v>
      </c>
      <c r="AD41" s="94"/>
      <c r="AE41" s="232">
        <f t="shared" si="10"/>
        <v>-3047</v>
      </c>
      <c r="AF41" s="424" t="e">
        <f t="shared" si="11"/>
        <v>#DIV/0!</v>
      </c>
      <c r="AG41" s="127">
        <f t="shared" si="12"/>
        <v>1758</v>
      </c>
    </row>
    <row r="42" spans="1:35" ht="15" thickBot="1" x14ac:dyDescent="0.25">
      <c r="B42" s="100" t="s">
        <v>80</v>
      </c>
      <c r="C42" s="99" t="s">
        <v>77</v>
      </c>
      <c r="D42" s="98"/>
      <c r="E42" s="435" t="s">
        <v>145</v>
      </c>
      <c r="F42" s="96">
        <f t="shared" si="1"/>
        <v>4271</v>
      </c>
      <c r="G42" s="95">
        <v>3475</v>
      </c>
      <c r="H42" s="95"/>
      <c r="I42" s="95"/>
      <c r="J42" s="95">
        <v>796</v>
      </c>
      <c r="K42" s="96">
        <f t="shared" si="2"/>
        <v>4271</v>
      </c>
      <c r="L42" s="95">
        <v>3475</v>
      </c>
      <c r="M42" s="95"/>
      <c r="N42" s="95"/>
      <c r="O42" s="95">
        <f t="shared" si="13"/>
        <v>796</v>
      </c>
      <c r="P42" s="96">
        <f t="shared" si="3"/>
        <v>2286</v>
      </c>
      <c r="Q42" s="441">
        <v>1492</v>
      </c>
      <c r="R42" s="442"/>
      <c r="S42" s="442"/>
      <c r="T42" s="443">
        <v>794</v>
      </c>
      <c r="U42" s="96">
        <f t="shared" si="4"/>
        <v>-1985</v>
      </c>
      <c r="V42" s="126">
        <f t="shared" si="6"/>
        <v>-1983</v>
      </c>
      <c r="W42" s="126">
        <f t="shared" si="7"/>
        <v>0</v>
      </c>
      <c r="X42" s="126">
        <f t="shared" si="8"/>
        <v>0</v>
      </c>
      <c r="Y42" s="94">
        <f t="shared" si="9"/>
        <v>-2</v>
      </c>
      <c r="Z42" s="96">
        <f t="shared" si="5"/>
        <v>0</v>
      </c>
      <c r="AA42" s="95"/>
      <c r="AB42" s="95">
        <v>0</v>
      </c>
      <c r="AC42" s="95">
        <v>0</v>
      </c>
      <c r="AD42" s="94"/>
      <c r="AE42" s="232">
        <f t="shared" si="10"/>
        <v>-1492</v>
      </c>
      <c r="AF42" s="424" t="e">
        <f t="shared" si="11"/>
        <v>#DIV/0!</v>
      </c>
      <c r="AG42" s="127">
        <f t="shared" si="12"/>
        <v>596</v>
      </c>
    </row>
    <row r="43" spans="1:35" ht="15" thickBot="1" x14ac:dyDescent="0.25">
      <c r="B43" s="100" t="s">
        <v>79</v>
      </c>
      <c r="C43" s="99" t="s">
        <v>77</v>
      </c>
      <c r="D43" s="98"/>
      <c r="E43" s="435" t="s">
        <v>146</v>
      </c>
      <c r="F43" s="96">
        <f t="shared" si="1"/>
        <v>3648</v>
      </c>
      <c r="G43" s="95">
        <v>2485</v>
      </c>
      <c r="H43" s="95"/>
      <c r="I43" s="95"/>
      <c r="J43" s="95">
        <v>1163</v>
      </c>
      <c r="K43" s="96">
        <f t="shared" si="2"/>
        <v>4548</v>
      </c>
      <c r="L43" s="95">
        <v>3385</v>
      </c>
      <c r="M43" s="95"/>
      <c r="N43" s="95"/>
      <c r="O43" s="95">
        <f t="shared" si="13"/>
        <v>1163</v>
      </c>
      <c r="P43" s="96">
        <f t="shared" si="3"/>
        <v>3333</v>
      </c>
      <c r="Q43" s="441">
        <v>2369</v>
      </c>
      <c r="R43" s="442"/>
      <c r="S43" s="442"/>
      <c r="T43" s="443">
        <v>964</v>
      </c>
      <c r="U43" s="96">
        <f t="shared" si="4"/>
        <v>-315</v>
      </c>
      <c r="V43" s="126">
        <f t="shared" si="6"/>
        <v>-116</v>
      </c>
      <c r="W43" s="126">
        <f t="shared" si="7"/>
        <v>0</v>
      </c>
      <c r="X43" s="126">
        <f t="shared" si="8"/>
        <v>0</v>
      </c>
      <c r="Y43" s="94">
        <f t="shared" si="9"/>
        <v>-199</v>
      </c>
      <c r="Z43" s="96">
        <f t="shared" si="5"/>
        <v>0</v>
      </c>
      <c r="AA43" s="95"/>
      <c r="AB43" s="95">
        <v>0</v>
      </c>
      <c r="AC43" s="95">
        <v>0</v>
      </c>
      <c r="AD43" s="94"/>
      <c r="AE43" s="232">
        <f t="shared" si="10"/>
        <v>-2369</v>
      </c>
      <c r="AF43" s="424" t="e">
        <f t="shared" si="11"/>
        <v>#DIV/0!</v>
      </c>
      <c r="AG43" s="127">
        <f t="shared" si="12"/>
        <v>723</v>
      </c>
    </row>
    <row r="44" spans="1:35" ht="15" thickBot="1" x14ac:dyDescent="0.25">
      <c r="B44" s="100" t="s">
        <v>78</v>
      </c>
      <c r="C44" s="99" t="s">
        <v>77</v>
      </c>
      <c r="D44" s="98"/>
      <c r="E44" s="435" t="s">
        <v>147</v>
      </c>
      <c r="F44" s="96">
        <f t="shared" si="1"/>
        <v>4584</v>
      </c>
      <c r="G44" s="95">
        <v>3384</v>
      </c>
      <c r="H44" s="95"/>
      <c r="I44" s="95"/>
      <c r="J44" s="95">
        <v>1200</v>
      </c>
      <c r="K44" s="96">
        <f t="shared" si="2"/>
        <v>6084</v>
      </c>
      <c r="L44" s="95">
        <v>4884</v>
      </c>
      <c r="M44" s="95"/>
      <c r="N44" s="95"/>
      <c r="O44" s="95">
        <f t="shared" si="13"/>
        <v>1200</v>
      </c>
      <c r="P44" s="96">
        <f t="shared" si="3"/>
        <v>3403</v>
      </c>
      <c r="Q44" s="441">
        <v>2400</v>
      </c>
      <c r="R44" s="442"/>
      <c r="S44" s="442"/>
      <c r="T44" s="443">
        <v>1003</v>
      </c>
      <c r="U44" s="96">
        <f t="shared" si="4"/>
        <v>-1181</v>
      </c>
      <c r="V44" s="126">
        <f t="shared" si="6"/>
        <v>-984</v>
      </c>
      <c r="W44" s="126">
        <f t="shared" si="7"/>
        <v>0</v>
      </c>
      <c r="X44" s="126">
        <f t="shared" si="8"/>
        <v>0</v>
      </c>
      <c r="Y44" s="94">
        <f t="shared" si="9"/>
        <v>-197</v>
      </c>
      <c r="Z44" s="96">
        <f t="shared" si="5"/>
        <v>0</v>
      </c>
      <c r="AA44" s="95"/>
      <c r="AB44" s="95">
        <v>0</v>
      </c>
      <c r="AC44" s="95">
        <v>0</v>
      </c>
      <c r="AD44" s="94"/>
      <c r="AE44" s="232">
        <f t="shared" si="10"/>
        <v>-2400</v>
      </c>
      <c r="AF44" s="424" t="e">
        <f t="shared" si="11"/>
        <v>#DIV/0!</v>
      </c>
      <c r="AG44" s="127">
        <f t="shared" si="12"/>
        <v>752</v>
      </c>
    </row>
    <row r="45" spans="1:35" ht="15" thickBot="1" x14ac:dyDescent="0.25">
      <c r="B45" s="100" t="s">
        <v>76</v>
      </c>
      <c r="C45" s="99" t="s">
        <v>77</v>
      </c>
      <c r="D45" s="98"/>
      <c r="E45" s="435" t="s">
        <v>148</v>
      </c>
      <c r="F45" s="96">
        <f t="shared" si="1"/>
        <v>8587</v>
      </c>
      <c r="G45" s="95">
        <v>6172</v>
      </c>
      <c r="H45" s="95"/>
      <c r="I45" s="95"/>
      <c r="J45" s="95">
        <v>2415</v>
      </c>
      <c r="K45" s="96">
        <f t="shared" si="2"/>
        <v>8587</v>
      </c>
      <c r="L45" s="95">
        <v>6172</v>
      </c>
      <c r="M45" s="95"/>
      <c r="N45" s="95"/>
      <c r="O45" s="95">
        <f t="shared" si="13"/>
        <v>2415</v>
      </c>
      <c r="P45" s="96">
        <f t="shared" si="3"/>
        <v>6360</v>
      </c>
      <c r="Q45" s="441">
        <v>5098</v>
      </c>
      <c r="R45" s="442"/>
      <c r="S45" s="442"/>
      <c r="T45" s="443">
        <v>1262</v>
      </c>
      <c r="U45" s="96">
        <f t="shared" si="4"/>
        <v>-2227</v>
      </c>
      <c r="V45" s="126">
        <f t="shared" si="6"/>
        <v>-1074</v>
      </c>
      <c r="W45" s="126">
        <f t="shared" si="7"/>
        <v>0</v>
      </c>
      <c r="X45" s="126">
        <f t="shared" si="8"/>
        <v>0</v>
      </c>
      <c r="Y45" s="94">
        <f t="shared" si="9"/>
        <v>-1153</v>
      </c>
      <c r="Z45" s="96">
        <f t="shared" si="5"/>
        <v>0</v>
      </c>
      <c r="AA45" s="95"/>
      <c r="AB45" s="95">
        <v>0</v>
      </c>
      <c r="AC45" s="95">
        <v>0</v>
      </c>
      <c r="AD45" s="94"/>
      <c r="AE45" s="232">
        <f t="shared" si="10"/>
        <v>-5098</v>
      </c>
      <c r="AF45" s="424" t="e">
        <f t="shared" si="11"/>
        <v>#DIV/0!</v>
      </c>
      <c r="AG45" s="127">
        <f t="shared" si="12"/>
        <v>947</v>
      </c>
    </row>
    <row r="46" spans="1:35" ht="15.75" thickBot="1" x14ac:dyDescent="0.25">
      <c r="B46" s="740" t="s">
        <v>40</v>
      </c>
      <c r="C46" s="741"/>
      <c r="D46" s="93"/>
      <c r="E46" s="436"/>
      <c r="F46" s="91">
        <f t="shared" ref="F46:Y46" si="14">SUM(F13:F45)</f>
        <v>256246</v>
      </c>
      <c r="G46" s="125">
        <f t="shared" si="14"/>
        <v>224610</v>
      </c>
      <c r="H46" s="125">
        <f t="shared" si="14"/>
        <v>0</v>
      </c>
      <c r="I46" s="125">
        <f t="shared" si="14"/>
        <v>0</v>
      </c>
      <c r="J46" s="124">
        <f t="shared" si="14"/>
        <v>31636</v>
      </c>
      <c r="K46" s="91">
        <f t="shared" si="14"/>
        <v>263603</v>
      </c>
      <c r="L46" s="125">
        <f t="shared" si="14"/>
        <v>231967</v>
      </c>
      <c r="M46" s="125">
        <f t="shared" si="14"/>
        <v>0</v>
      </c>
      <c r="N46" s="125">
        <f t="shared" si="14"/>
        <v>0</v>
      </c>
      <c r="O46" s="124">
        <f t="shared" si="14"/>
        <v>31636</v>
      </c>
      <c r="P46" s="91">
        <f t="shared" si="14"/>
        <v>235000</v>
      </c>
      <c r="Q46" s="444">
        <f>SUM(Q13:Q45)</f>
        <v>203426</v>
      </c>
      <c r="R46" s="445">
        <f t="shared" si="14"/>
        <v>0</v>
      </c>
      <c r="S46" s="445">
        <f t="shared" si="14"/>
        <v>0</v>
      </c>
      <c r="T46" s="446">
        <f>SUM(T13:T45)</f>
        <v>31574</v>
      </c>
      <c r="U46" s="91">
        <f t="shared" si="14"/>
        <v>-21246</v>
      </c>
      <c r="V46" s="125">
        <f t="shared" si="14"/>
        <v>-21184</v>
      </c>
      <c r="W46" s="125">
        <f t="shared" si="14"/>
        <v>0</v>
      </c>
      <c r="X46" s="125">
        <f t="shared" si="14"/>
        <v>0</v>
      </c>
      <c r="Y46" s="90">
        <f t="shared" si="14"/>
        <v>-62</v>
      </c>
      <c r="Z46" s="91">
        <f t="shared" ref="Z46:AD46" si="15">SUM(Z13:Z45)</f>
        <v>0</v>
      </c>
      <c r="AA46" s="125">
        <f t="shared" si="15"/>
        <v>0</v>
      </c>
      <c r="AB46" s="125">
        <f t="shared" si="15"/>
        <v>0</v>
      </c>
      <c r="AC46" s="125">
        <f t="shared" si="15"/>
        <v>0</v>
      </c>
      <c r="AD46" s="129">
        <f t="shared" si="15"/>
        <v>0</v>
      </c>
      <c r="AE46" s="233">
        <f t="shared" si="10"/>
        <v>-203426</v>
      </c>
      <c r="AF46" s="424" t="e">
        <f t="shared" si="11"/>
        <v>#DIV/0!</v>
      </c>
      <c r="AG46" s="296">
        <f>SUM(AG14:AG45)</f>
        <v>23687</v>
      </c>
      <c r="AH46" s="127"/>
      <c r="AI46" s="296">
        <f>SUM(AI14:AI45)</f>
        <v>-110</v>
      </c>
    </row>
    <row r="47" spans="1:35" s="198" customFormat="1" ht="15" customHeight="1" x14ac:dyDescent="0.2">
      <c r="A47" s="196"/>
      <c r="B47" s="738"/>
      <c r="C47" s="739"/>
      <c r="D47" s="739"/>
      <c r="E47" s="739"/>
      <c r="F47" s="739"/>
      <c r="G47" s="739"/>
      <c r="H47" s="739"/>
      <c r="I47" s="739"/>
      <c r="J47" s="739"/>
      <c r="K47" s="739"/>
      <c r="L47" s="739"/>
      <c r="M47" s="739"/>
      <c r="N47" s="739"/>
      <c r="O47" s="739"/>
      <c r="P47" s="739"/>
      <c r="Q47" s="739"/>
      <c r="R47" s="739"/>
      <c r="S47" s="739"/>
      <c r="T47" s="739"/>
      <c r="U47" s="197"/>
      <c r="V47" s="197"/>
      <c r="W47" s="197"/>
      <c r="X47" s="197"/>
      <c r="Y47" s="197"/>
      <c r="Z47" s="196"/>
      <c r="AA47" s="196"/>
      <c r="AG47" s="427">
        <f>T46*AG12</f>
        <v>23680.5</v>
      </c>
    </row>
    <row r="48" spans="1:35" x14ac:dyDescent="0.2">
      <c r="L48" s="329"/>
    </row>
  </sheetData>
  <sheetProtection selectLockedCells="1"/>
  <mergeCells count="14">
    <mergeCell ref="B47:T47"/>
    <mergeCell ref="B46:C46"/>
    <mergeCell ref="F8:J8"/>
    <mergeCell ref="K8:O8"/>
    <mergeCell ref="P8:T8"/>
    <mergeCell ref="B9:C9"/>
    <mergeCell ref="G12:J12"/>
    <mergeCell ref="L12:O12"/>
    <mergeCell ref="Z8:AD8"/>
    <mergeCell ref="AA12:AD12"/>
    <mergeCell ref="AE10:AF10"/>
    <mergeCell ref="Q12:T12"/>
    <mergeCell ref="V12:Y12"/>
    <mergeCell ref="U8:Y8"/>
  </mergeCells>
  <conditionalFormatting sqref="K22">
    <cfRule type="cellIs" dxfId="21" priority="8" operator="notEqual">
      <formula>9131-485</formula>
    </cfRule>
  </conditionalFormatting>
  <conditionalFormatting sqref="K24">
    <cfRule type="cellIs" dxfId="20" priority="7" operator="notEqual">
      <formula>4876-30-25</formula>
    </cfRule>
  </conditionalFormatting>
  <conditionalFormatting sqref="K26">
    <cfRule type="cellIs" dxfId="19" priority="6" operator="notEqual">
      <formula>8428-558</formula>
    </cfRule>
  </conditionalFormatting>
  <conditionalFormatting sqref="F46">
    <cfRule type="cellIs" dxfId="18" priority="5" operator="notEqual">
      <formula>256246</formula>
    </cfRule>
  </conditionalFormatting>
  <conditionalFormatting sqref="K46">
    <cfRule type="cellIs" dxfId="17" priority="4" operator="notEqual">
      <formula>265475.29-0.33-485.01-30-25-558.48-116.02-657.45</formula>
    </cfRule>
  </conditionalFormatting>
  <conditionalFormatting sqref="P46">
    <cfRule type="cellIs" dxfId="16" priority="3" operator="notEqual">
      <formula>235000</formula>
    </cfRule>
  </conditionalFormatting>
  <conditionalFormatting sqref="Q46">
    <cfRule type="cellIs" dxfId="15" priority="2" operator="notEqual">
      <formula>203426</formula>
    </cfRule>
  </conditionalFormatting>
  <conditionalFormatting sqref="T46">
    <cfRule type="cellIs" dxfId="14" priority="1" operator="notEqual">
      <formula>31684-15-70+10-35</formula>
    </cfRule>
  </conditionalFormatting>
  <pageMargins left="0.51181102362204722" right="0.11811023622047245" top="0.78740157480314965" bottom="0.78740157480314965" header="0.31496062992125984" footer="0.31496062992125984"/>
  <pageSetup paperSize="9" scale="60" firstPageNumber="68" fitToHeight="9999" orientation="landscape" r:id="rId1"/>
  <headerFooter>
    <oddFooter>&amp;L&amp;"Arial,Kurzíva"Zastupitelstvo Olomouckého kraje 19-12-2013
6. - Rozpočet Olomouckého kraje 2014 - návrh rozpočtu
Příloha č. 3b): Příspěvkové organizace zřizované Olomouckým krajem&amp;R&amp;"Arial,Kurzíva"Strana &amp;P (celkem 124)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9</vt:i4>
      </vt:variant>
    </vt:vector>
  </HeadingPairs>
  <TitlesOfParts>
    <vt:vector size="26" baseType="lpstr">
      <vt:lpstr>Sumář celkem</vt:lpstr>
      <vt:lpstr>ORJ - 10</vt:lpstr>
      <vt:lpstr>ORJ - 10 - Olomouc</vt:lpstr>
      <vt:lpstr>ORJ - 10 - Šumperk</vt:lpstr>
      <vt:lpstr>ORJ - 10 - Přerov</vt:lpstr>
      <vt:lpstr>ORJ - 10 - Prostějov</vt:lpstr>
      <vt:lpstr>ORJ - 10 - Jeseník</vt:lpstr>
      <vt:lpstr>Celkem ORJ - 11</vt:lpstr>
      <vt:lpstr>PO - sociálníci</vt:lpstr>
      <vt:lpstr>Celkem ORJ -12</vt:lpstr>
      <vt:lpstr>PO - doprava</vt:lpstr>
      <vt:lpstr>Celkem ORJ 13</vt:lpstr>
      <vt:lpstr>PO - kultura</vt:lpstr>
      <vt:lpstr>Celkem ORJ - 14</vt:lpstr>
      <vt:lpstr>PO - zdravotnictví</vt:lpstr>
      <vt:lpstr>ORJ </vt:lpstr>
      <vt:lpstr>Souhrn</vt:lpstr>
      <vt:lpstr>'ORJ - 10 - Olomouc'!Názvy_tisku</vt:lpstr>
      <vt:lpstr>'ORJ - 10 - Prostějov'!Názvy_tisku</vt:lpstr>
      <vt:lpstr>'ORJ - 10 - Přerov'!Názvy_tisku</vt:lpstr>
      <vt:lpstr>'ORJ - 10 - Šumperk'!Názvy_tisku</vt:lpstr>
      <vt:lpstr>'Celkem ORJ - 14'!Oblast_tisku</vt:lpstr>
      <vt:lpstr>'Celkem ORJ 13'!Oblast_tisku</vt:lpstr>
      <vt:lpstr>'ORJ '!Oblast_tisku</vt:lpstr>
      <vt:lpstr>'ORJ - 10'!Oblast_tisku</vt:lpstr>
      <vt:lpstr>'ORJ - 10 - Jeseník'!Oblast_tisku</vt:lpstr>
    </vt:vector>
  </TitlesOfParts>
  <Company>GORDIC spol. s r. 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pvyplasil</dc:creator>
  <cp:lastModifiedBy>Vítková Petra</cp:lastModifiedBy>
  <cp:lastPrinted>2013-12-02T11:25:56Z</cp:lastPrinted>
  <dcterms:created xsi:type="dcterms:W3CDTF">2011-05-20T06:41:55Z</dcterms:created>
  <dcterms:modified xsi:type="dcterms:W3CDTF">2013-12-02T11:26:09Z</dcterms:modified>
</cp:coreProperties>
</file>