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OdRF\Úvěrový rámec\KB\SMLOUVA O ÚVĚRU (100 mil. Kč)\28. čerpání\ZOK\"/>
    </mc:Choice>
  </mc:AlternateContent>
  <bookViews>
    <workbookView xWindow="-1005" yWindow="1815" windowWidth="15570" windowHeight="9975"/>
  </bookViews>
  <sheets>
    <sheet name="Přehled úvěru" sheetId="6" r:id="rId1"/>
    <sheet name="Dotace - aktualizace" sheetId="9" state="hidden" r:id="rId2"/>
  </sheets>
  <definedNames>
    <definedName name="_xlnm.Print_Titles" localSheetId="0">'Přehled úvěru'!$2:$3</definedName>
    <definedName name="_xlnm.Print_Area" localSheetId="0">'Přehled úvěru'!$B$1:$BP$9</definedName>
  </definedNames>
  <calcPr calcId="162913"/>
</workbook>
</file>

<file path=xl/calcChain.xml><?xml version="1.0" encoding="utf-8"?>
<calcChain xmlns="http://schemas.openxmlformats.org/spreadsheetml/2006/main">
  <c r="I5" i="6" l="1"/>
  <c r="J5" i="6" l="1"/>
  <c r="BN5" i="6" l="1"/>
  <c r="BM5" i="6"/>
  <c r="I9" i="6"/>
  <c r="F5" i="6" l="1"/>
  <c r="G5" i="6"/>
  <c r="K9" i="6" l="1"/>
  <c r="M5" i="6" l="1"/>
  <c r="M9" i="6" l="1"/>
  <c r="O5" i="6" l="1"/>
  <c r="P5" i="6" l="1"/>
  <c r="O9" i="6" l="1"/>
  <c r="Q5" i="6" l="1"/>
  <c r="Q9" i="6" l="1"/>
  <c r="R5" i="6" l="1"/>
  <c r="S5" i="6" l="1"/>
  <c r="S9" i="6" l="1"/>
  <c r="V5" i="6" l="1"/>
  <c r="U5" i="6" l="1"/>
  <c r="U9" i="6" l="1"/>
  <c r="W9" i="6" l="1"/>
  <c r="Y5" i="6" l="1"/>
  <c r="BP5" i="6" l="1"/>
  <c r="BO5" i="6"/>
  <c r="Y9" i="6" l="1"/>
  <c r="AA9" i="6" l="1"/>
  <c r="AC9" i="6"/>
  <c r="AE9" i="6"/>
  <c r="AG9" i="6"/>
  <c r="AA5" i="6"/>
  <c r="G9" i="6" l="1"/>
  <c r="F9" i="6"/>
  <c r="BM9" i="6" l="1"/>
  <c r="H4" i="6"/>
  <c r="AG4" i="6"/>
  <c r="AH4" i="6"/>
  <c r="AI4" i="6"/>
  <c r="AM4" i="6"/>
  <c r="AN4" i="6"/>
  <c r="AO4" i="6"/>
  <c r="AP4" i="6"/>
  <c r="AU4" i="6"/>
  <c r="AW4" i="6"/>
  <c r="AY4" i="6"/>
  <c r="BM4" i="6" s="1"/>
  <c r="BO4" i="6" s="1"/>
  <c r="BC4" i="6"/>
  <c r="BF4" i="6"/>
  <c r="BN4" i="6"/>
  <c r="BP4" i="6" s="1"/>
  <c r="G6" i="6"/>
  <c r="H6" i="6" s="1"/>
  <c r="AO6" i="6"/>
  <c r="AU6" i="6"/>
  <c r="BM6" i="6" s="1"/>
  <c r="BO6" i="6" s="1"/>
  <c r="AV6" i="6"/>
  <c r="BC6" i="6"/>
  <c r="BN6" i="6"/>
  <c r="BP6" i="6" s="1"/>
  <c r="F7" i="6"/>
  <c r="H7" i="6" s="1"/>
  <c r="G7" i="6"/>
  <c r="AO7" i="6"/>
  <c r="AP7" i="6"/>
  <c r="BN7" i="6" s="1"/>
  <c r="AU7" i="6"/>
  <c r="AV7" i="6"/>
  <c r="AW7" i="6"/>
  <c r="BC7" i="6"/>
  <c r="BM7" i="6"/>
  <c r="H8" i="6"/>
  <c r="AI8" i="6"/>
  <c r="AJ8" i="6"/>
  <c r="AO8" i="6"/>
  <c r="AP8" i="6"/>
  <c r="AU8" i="6"/>
  <c r="AW8" i="6"/>
  <c r="AX8" i="6"/>
  <c r="BN8" i="6" s="1"/>
  <c r="BP8" i="6" s="1"/>
  <c r="BC8" i="6"/>
  <c r="BM8" i="6" s="1"/>
  <c r="BO8" i="6" s="1"/>
  <c r="BP7" i="6" l="1"/>
  <c r="BO7" i="6"/>
  <c r="BD12" i="6"/>
  <c r="AI9" i="6" l="1"/>
  <c r="AK9" i="6" l="1"/>
  <c r="AM9" i="6" l="1"/>
  <c r="AO9" i="6" l="1"/>
  <c r="AQ9" i="6" l="1"/>
  <c r="AS9" i="6" l="1"/>
  <c r="AU9" i="6" l="1"/>
  <c r="AW9" i="6" l="1"/>
  <c r="AY9" i="6" l="1"/>
  <c r="BA9" i="6" l="1"/>
  <c r="BC9" i="6" l="1"/>
  <c r="BE9" i="6" l="1"/>
  <c r="BG9" i="6" l="1"/>
  <c r="BK9" i="6" l="1"/>
  <c r="BI9" i="6"/>
  <c r="BO9" i="6" l="1"/>
  <c r="H5" i="6"/>
  <c r="H9" i="6" s="1"/>
  <c r="L19" i="9" l="1"/>
  <c r="I19" i="9"/>
  <c r="H19" i="9"/>
  <c r="G19" i="9"/>
  <c r="F19" i="9"/>
  <c r="M18" i="9"/>
  <c r="K18" i="9"/>
  <c r="J18" i="9"/>
  <c r="M17" i="9"/>
  <c r="K17" i="9"/>
  <c r="J17" i="9"/>
  <c r="M16" i="9"/>
  <c r="K16" i="9"/>
  <c r="J16" i="9"/>
  <c r="M15" i="9"/>
  <c r="K15" i="9"/>
  <c r="J15" i="9"/>
  <c r="H11" i="9"/>
  <c r="G11" i="9"/>
  <c r="F11" i="9"/>
  <c r="M10" i="9"/>
  <c r="K10" i="9"/>
  <c r="J10" i="9"/>
  <c r="L9" i="9"/>
  <c r="I9" i="9"/>
  <c r="K9" i="9" s="1"/>
  <c r="L8" i="9"/>
  <c r="M8" i="9" s="1"/>
  <c r="I8" i="9"/>
  <c r="J8" i="9" s="1"/>
  <c r="L7" i="9"/>
  <c r="I7" i="9"/>
  <c r="M7" i="9" s="1"/>
  <c r="M6" i="9"/>
  <c r="K6" i="9"/>
  <c r="J6" i="9"/>
  <c r="H21" i="9" l="1"/>
  <c r="L11" i="9"/>
  <c r="L21" i="9" s="1"/>
  <c r="F21" i="9"/>
  <c r="K19" i="9"/>
  <c r="G21" i="9"/>
  <c r="M19" i="9"/>
  <c r="J7" i="9"/>
  <c r="J9" i="9"/>
  <c r="K7" i="9"/>
  <c r="M9" i="9"/>
  <c r="M11" i="9" s="1"/>
  <c r="M21" i="9" s="1"/>
  <c r="I11" i="9"/>
  <c r="I21" i="9" s="1"/>
  <c r="K8" i="9"/>
  <c r="K11" i="9" l="1"/>
  <c r="K21" i="9" s="1"/>
</calcChain>
</file>

<file path=xl/sharedStrings.xml><?xml version="1.0" encoding="utf-8"?>
<sst xmlns="http://schemas.openxmlformats.org/spreadsheetml/2006/main" count="157" uniqueCount="70">
  <si>
    <t>ORG</t>
  </si>
  <si>
    <t>Název projektu</t>
  </si>
  <si>
    <t>Celkem</t>
  </si>
  <si>
    <t>Předfinancování 2015</t>
  </si>
  <si>
    <t>Celkové náklady</t>
  </si>
  <si>
    <t>ORJ</t>
  </si>
  <si>
    <t>§</t>
  </si>
  <si>
    <t>Dotace</t>
  </si>
  <si>
    <t>Celkem OK 2015</t>
  </si>
  <si>
    <t>Podíl OK 2015</t>
  </si>
  <si>
    <t>Seskup. Pol.</t>
  </si>
  <si>
    <t>v tis. Kč</t>
  </si>
  <si>
    <t>Podíl OK 2015 v %</t>
  </si>
  <si>
    <t>RU 2015</t>
  </si>
  <si>
    <t>Zůstatek          Podíl OK</t>
  </si>
  <si>
    <t>II/439 Ústí – průtah – hranice okr. Vsetín</t>
  </si>
  <si>
    <t>II/446 Chomoutov - Pňovice, křižovatka silnic II/446 a III/44613</t>
  </si>
  <si>
    <t>III/44317 Velká Bystřice - okružní křižovatka</t>
  </si>
  <si>
    <t>III/36916 Šumperk - okružní křižovatka, ul. Temenická</t>
  </si>
  <si>
    <t>Realizace energeticky úsporných opatření - Domov důchodců Prostějov</t>
  </si>
  <si>
    <t>SSOK</t>
  </si>
  <si>
    <t>Silnice II/373 Chudobín – směr Slavětín</t>
  </si>
  <si>
    <t>Silnice II/644  hr. okresu – Mohelnice, ve staničení 11,034 – 20,396</t>
  </si>
  <si>
    <t>Stavební úpravy silnice II/150 v Dřevohosticích</t>
  </si>
  <si>
    <t>II/150 Rokytnice - Předmostí</t>
  </si>
  <si>
    <t>Projekty spolufinancované z evropských fondů - po aktualizaci</t>
  </si>
  <si>
    <t>Celkem SSOK</t>
  </si>
  <si>
    <t>v Kč</t>
  </si>
  <si>
    <t>II/433 Prostějov - Mořice</t>
  </si>
  <si>
    <t>Přehled čerpání uvěru</t>
  </si>
  <si>
    <t>II/447 Strukov - Šternberk</t>
  </si>
  <si>
    <t>Uznatelné náklady</t>
  </si>
  <si>
    <t>Neuznatelné náklady</t>
  </si>
  <si>
    <t>II/449 Křiž. II/366 - MÚK Unčovice</t>
  </si>
  <si>
    <t>II/444 Medlov - průtah</t>
  </si>
  <si>
    <t>Čerpání úvěru KB celkem</t>
  </si>
  <si>
    <t>Zůstatek úvěru KB k čerpání celkem</t>
  </si>
  <si>
    <t>II/441 Křiž. R35 - hr. Kraje Moravskoslezského</t>
  </si>
  <si>
    <t>Realizátor</t>
  </si>
  <si>
    <t>Olomoucký kraj</t>
  </si>
  <si>
    <t>Správa silnic Olomouckého kraje</t>
  </si>
  <si>
    <t>11. dílčí čerpání úvěru KB                  (17. 9. 2018)</t>
  </si>
  <si>
    <t>10. dílčí čerpání úvěru KB                                   (10. 9. 2018)</t>
  </si>
  <si>
    <t>9. dílčí čerpání úvěru KB                                   (27. 8. 2018)</t>
  </si>
  <si>
    <t>8. dílčí čerpání úvěru KB                                                   (23. 7. 2018)</t>
  </si>
  <si>
    <t>7. dílčí čerpání úvěru KB                                 (25. 6. 2018)</t>
  </si>
  <si>
    <t>6. dílčí čerpání úvěru KB                     (18. 6. 2018)</t>
  </si>
  <si>
    <t>5. dílčí čerpání úvěru KB                   (4. 6. 2018)</t>
  </si>
  <si>
    <t>4. dílčí čerpání úvěru KB                      (10. 5. 2018)</t>
  </si>
  <si>
    <t>3. dílčí čerpání úvěru KB                   (16. 4. 2018)</t>
  </si>
  <si>
    <t>2. dílčí čerpání úvěru KB                       (19. 2. 2018)</t>
  </si>
  <si>
    <t>1. dílčí čerpání úvěru KB                   (5. 2. 2018)</t>
  </si>
  <si>
    <t>12. dílčí čerpání úvěru KB                 (15. 10. 2018)</t>
  </si>
  <si>
    <t>13. dílčí čerpání úvěru KB                                    (29. 10. 2018)</t>
  </si>
  <si>
    <t>14. dílčí čerpání úvěru KB                                    (12. 11. 2018)</t>
  </si>
  <si>
    <t>15. dílčí čerpání úvěru KB                                    (26. 11. 2018)</t>
  </si>
  <si>
    <t>16. dílčí čerpání úvěru KB                                    (17. 12. 2018)</t>
  </si>
  <si>
    <t>Rozpočet OK 2019</t>
  </si>
  <si>
    <t>17. dílčí čerpání úvěru KB                                    (29. 04. 2019)</t>
  </si>
  <si>
    <t>18. dílčí čerpání úvěru KB                                    (20. 05. 2019)</t>
  </si>
  <si>
    <t>19. dílčí čerpání úvěru KB                                    (03. 06. 2019)</t>
  </si>
  <si>
    <t>20. dílčí čerpání úvěru KB                                    (24. 06. 2019)</t>
  </si>
  <si>
    <t>21. dílčí čerpání úvěru KB                                    (15. 07. 2019)</t>
  </si>
  <si>
    <t>22. dílčí čerpání úvěru KB                                    (12. 08. 2019)</t>
  </si>
  <si>
    <t>23. dílčí čerpání úvěru KB                                    (02. 09. 2019)</t>
  </si>
  <si>
    <t>24. dílčí čerpání úvěru KB                                    (7. 10. 2019)</t>
  </si>
  <si>
    <t>25. dílčí čerpání úvěru KB                                    (11. 11. 2019)</t>
  </si>
  <si>
    <t>26. dílčí čerpání úvěru KB                                    (25. 11. 2019)</t>
  </si>
  <si>
    <t>27. dílčí čerpání úvěru KB                                    (9. 12. 2019)</t>
  </si>
  <si>
    <t>28. dílčí čerpání úvěru KB                                    (16. 12. 2019)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</si>
</sst>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1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2"/>
      <color theme="1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b/>
      <sz val="12"/>
      <color theme="1"/>
      <name val="Arial"/>
      <family val="2"/>
      <charset val="238"/>
    </font>
    <font>
      <sz val="12"/>
      <name val="Arial"/>
      <family val="2"/>
      <charset val="238"/>
    </font>
    <font>
      <b/>
      <sz val="10"/>
      <name val="Arial"/>
      <family val="2"/>
      <charset val="238"/>
    </font>
    <font>
      <b/>
      <sz val="12"/>
      <name val="Arial"/>
      <family val="2"/>
      <charset val="238"/>
    </font>
    <font>
      <sz val="12"/>
      <color theme="1"/>
      <name val="Arial"/>
      <family val="2"/>
      <charset val="238"/>
    </font>
    <font>
      <sz val="12"/>
      <color rgb="FF000000"/>
      <name val="Arial"/>
      <family val="2"/>
      <charset val="238"/>
    </font>
    <font>
      <b/>
      <sz val="14"/>
      <name val="Arial"/>
      <family val="2"/>
      <charset val="238"/>
    </font>
    <font>
      <sz val="14"/>
      <name val="Arial"/>
      <family val="2"/>
      <charset val="238"/>
    </font>
    <font>
      <b/>
      <sz val="13"/>
      <name val="Arial"/>
      <family val="2"/>
      <charset val="238"/>
    </font>
    <font>
      <sz val="11"/>
      <color indexed="8"/>
      <name val="Calibri"/>
      <family val="2"/>
      <charset val="238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2"/>
      <color theme="0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51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medium">
        <color auto="1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/>
      <bottom style="hair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auto="1"/>
      </left>
      <right style="thin">
        <color auto="1"/>
      </right>
      <top style="hair">
        <color auto="1"/>
      </top>
      <bottom style="double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hair">
        <color auto="1"/>
      </bottom>
      <diagonal/>
    </border>
    <border>
      <left style="thick">
        <color auto="1"/>
      </left>
      <right style="thin">
        <color auto="1"/>
      </right>
      <top style="hair">
        <color auto="1"/>
      </top>
      <bottom style="double">
        <color auto="1"/>
      </bottom>
      <diagonal/>
    </border>
    <border>
      <left style="thick">
        <color auto="1"/>
      </left>
      <right style="thin">
        <color auto="1"/>
      </right>
      <top style="double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thick">
        <color auto="1"/>
      </bottom>
      <diagonal/>
    </border>
    <border>
      <left/>
      <right style="thin">
        <color auto="1"/>
      </right>
      <top style="thick">
        <color auto="1"/>
      </top>
      <bottom/>
      <diagonal/>
    </border>
    <border>
      <left style="thin">
        <color auto="1"/>
      </left>
      <right/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/>
      <top style="thick">
        <color auto="1"/>
      </top>
      <bottom style="hair">
        <color auto="1"/>
      </bottom>
      <diagonal/>
    </border>
    <border>
      <left style="thin">
        <color auto="1"/>
      </left>
      <right/>
      <top style="double">
        <color auto="1"/>
      </top>
      <bottom style="thick">
        <color auto="1"/>
      </bottom>
      <diagonal/>
    </border>
    <border>
      <left/>
      <right style="thick">
        <color auto="1"/>
      </right>
      <top style="thick">
        <color auto="1"/>
      </top>
      <bottom style="hair">
        <color auto="1"/>
      </bottom>
      <diagonal/>
    </border>
    <border>
      <left style="thin">
        <color auto="1"/>
      </left>
      <right/>
      <top style="thin">
        <color auto="1"/>
      </top>
      <bottom style="double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double">
        <color auto="1"/>
      </bottom>
      <diagonal/>
    </border>
    <border>
      <left/>
      <right style="thin">
        <color auto="1"/>
      </right>
      <top style="double">
        <color auto="1"/>
      </top>
      <bottom style="thick">
        <color auto="1"/>
      </bottom>
      <diagonal/>
    </border>
    <border>
      <left/>
      <right style="thick">
        <color auto="1"/>
      </right>
      <top style="double">
        <color auto="1"/>
      </top>
      <bottom style="thick">
        <color auto="1"/>
      </bottom>
      <diagonal/>
    </border>
    <border>
      <left/>
      <right/>
      <top style="thick">
        <color auto="1"/>
      </top>
      <bottom style="hair">
        <color auto="1"/>
      </bottom>
      <diagonal/>
    </border>
    <border>
      <left/>
      <right/>
      <top style="double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double">
        <color auto="1"/>
      </top>
      <bottom style="dashed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dashed">
        <color auto="1"/>
      </bottom>
      <diagonal/>
    </border>
    <border>
      <left style="thin">
        <color auto="1"/>
      </left>
      <right style="thick">
        <color auto="1"/>
      </right>
      <top style="double">
        <color auto="1"/>
      </top>
      <bottom style="dashed">
        <color auto="1"/>
      </bottom>
      <diagonal/>
    </border>
    <border>
      <left style="thick">
        <color auto="1"/>
      </left>
      <right style="thin">
        <color auto="1"/>
      </right>
      <top style="dashed">
        <color auto="1"/>
      </top>
      <bottom style="dashed">
        <color auto="1"/>
      </bottom>
      <diagonal/>
    </border>
    <border>
      <left style="thin">
        <color auto="1"/>
      </left>
      <right style="thin">
        <color auto="1"/>
      </right>
      <top style="dashed">
        <color auto="1"/>
      </top>
      <bottom style="dashed">
        <color auto="1"/>
      </bottom>
      <diagonal/>
    </border>
    <border>
      <left style="thin">
        <color auto="1"/>
      </left>
      <right style="thick">
        <color auto="1"/>
      </right>
      <top style="dashed">
        <color auto="1"/>
      </top>
      <bottom style="dashed">
        <color auto="1"/>
      </bottom>
      <diagonal/>
    </border>
    <border>
      <left style="thick">
        <color auto="1"/>
      </left>
      <right style="thin">
        <color auto="1"/>
      </right>
      <top style="dashed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dashed">
        <color auto="1"/>
      </top>
      <bottom style="double">
        <color auto="1"/>
      </bottom>
      <diagonal/>
    </border>
    <border>
      <left style="thin">
        <color auto="1"/>
      </left>
      <right style="thick">
        <color auto="1"/>
      </right>
      <top style="dashed">
        <color auto="1"/>
      </top>
      <bottom style="double">
        <color auto="1"/>
      </bottom>
      <diagonal/>
    </border>
  </borders>
  <cellStyleXfs count="13">
    <xf numFmtId="0" fontId="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5" fillId="0" borderId="0"/>
  </cellStyleXfs>
  <cellXfs count="154">
    <xf numFmtId="0" fontId="0" fillId="0" borderId="0" xfId="0"/>
    <xf numFmtId="0" fontId="1" fillId="0" borderId="0" xfId="0" applyFont="1" applyAlignment="1">
      <alignment horizontal="right"/>
    </xf>
    <xf numFmtId="0" fontId="6" fillId="0" borderId="0" xfId="1" applyFont="1" applyFill="1" applyBorder="1" applyAlignment="1"/>
    <xf numFmtId="0" fontId="6" fillId="0" borderId="0" xfId="1" applyFont="1" applyFill="1" applyBorder="1" applyAlignment="1">
      <alignment horizontal="right"/>
    </xf>
    <xf numFmtId="0" fontId="7" fillId="0" borderId="0" xfId="1" applyFont="1" applyFill="1" applyBorder="1"/>
    <xf numFmtId="0" fontId="6" fillId="0" borderId="0" xfId="1" applyFont="1" applyFill="1" applyAlignment="1">
      <alignment horizontal="right"/>
    </xf>
    <xf numFmtId="0" fontId="7" fillId="0" borderId="0" xfId="1" applyFont="1" applyFill="1"/>
    <xf numFmtId="0" fontId="10" fillId="0" borderId="13" xfId="1" applyFont="1" applyFill="1" applyBorder="1" applyAlignment="1">
      <alignment horizontal="center" vertical="center"/>
    </xf>
    <xf numFmtId="0" fontId="10" fillId="0" borderId="8" xfId="1" applyFont="1" applyFill="1" applyBorder="1" applyAlignment="1">
      <alignment horizontal="center" vertical="center"/>
    </xf>
    <xf numFmtId="0" fontId="10" fillId="2" borderId="8" xfId="1" applyFont="1" applyFill="1" applyBorder="1" applyAlignment="1">
      <alignment horizontal="left" vertical="center" wrapText="1"/>
    </xf>
    <xf numFmtId="3" fontId="11" fillId="0" borderId="8" xfId="1" applyNumberFormat="1" applyFont="1" applyFill="1" applyBorder="1" applyAlignment="1">
      <alignment horizontal="center" vertical="center"/>
    </xf>
    <xf numFmtId="3" fontId="10" fillId="0" borderId="8" xfId="1" applyNumberFormat="1" applyFont="1" applyFill="1" applyBorder="1" applyAlignment="1">
      <alignment horizontal="center" vertical="center" wrapText="1"/>
    </xf>
    <xf numFmtId="9" fontId="10" fillId="0" borderId="8" xfId="1" applyNumberFormat="1" applyFont="1" applyFill="1" applyBorder="1" applyAlignment="1">
      <alignment horizontal="center" vertical="center" wrapText="1"/>
    </xf>
    <xf numFmtId="3" fontId="6" fillId="0" borderId="8" xfId="1" applyNumberFormat="1" applyFont="1" applyFill="1" applyBorder="1" applyAlignment="1">
      <alignment horizontal="center" vertical="center" wrapText="1"/>
    </xf>
    <xf numFmtId="3" fontId="7" fillId="0" borderId="8" xfId="1" applyNumberFormat="1" applyFont="1" applyFill="1" applyBorder="1" applyAlignment="1">
      <alignment horizontal="center" vertical="center" wrapText="1"/>
    </xf>
    <xf numFmtId="3" fontId="7" fillId="0" borderId="14" xfId="1" applyNumberFormat="1" applyFont="1" applyFill="1" applyBorder="1" applyAlignment="1">
      <alignment horizontal="center" vertical="center"/>
    </xf>
    <xf numFmtId="0" fontId="10" fillId="0" borderId="15" xfId="1" applyFont="1" applyFill="1" applyBorder="1" applyAlignment="1">
      <alignment horizontal="center" vertical="center"/>
    </xf>
    <xf numFmtId="0" fontId="7" fillId="0" borderId="3" xfId="1" applyFont="1" applyFill="1" applyBorder="1" applyAlignment="1">
      <alignment horizontal="center" vertical="center"/>
    </xf>
    <xf numFmtId="0" fontId="10" fillId="0" borderId="3" xfId="1" applyFont="1" applyFill="1" applyBorder="1" applyAlignment="1">
      <alignment horizontal="center" vertical="center"/>
    </xf>
    <xf numFmtId="0" fontId="10" fillId="2" borderId="3" xfId="1" applyFont="1" applyFill="1" applyBorder="1" applyAlignment="1">
      <alignment horizontal="left" vertical="center" wrapText="1"/>
    </xf>
    <xf numFmtId="3" fontId="10" fillId="0" borderId="3" xfId="1" applyNumberFormat="1" applyFont="1" applyFill="1" applyBorder="1" applyAlignment="1">
      <alignment horizontal="center" vertical="center"/>
    </xf>
    <xf numFmtId="3" fontId="10" fillId="0" borderId="3" xfId="1" applyNumberFormat="1" applyFont="1" applyFill="1" applyBorder="1" applyAlignment="1">
      <alignment horizontal="center" vertical="center" wrapText="1"/>
    </xf>
    <xf numFmtId="3" fontId="6" fillId="0" borderId="3" xfId="1" applyNumberFormat="1" applyFont="1" applyFill="1" applyBorder="1" applyAlignment="1">
      <alignment horizontal="center" vertical="center" wrapText="1"/>
    </xf>
    <xf numFmtId="3" fontId="7" fillId="0" borderId="3" xfId="1" applyNumberFormat="1" applyFont="1" applyFill="1" applyBorder="1" applyAlignment="1">
      <alignment horizontal="center" vertical="center"/>
    </xf>
    <xf numFmtId="3" fontId="7" fillId="0" borderId="16" xfId="1" applyNumberFormat="1" applyFont="1" applyFill="1" applyBorder="1" applyAlignment="1">
      <alignment horizontal="center" vertical="center"/>
    </xf>
    <xf numFmtId="3" fontId="7" fillId="0" borderId="3" xfId="1" applyNumberFormat="1" applyFont="1" applyFill="1" applyBorder="1" applyAlignment="1">
      <alignment horizontal="center" vertical="center" wrapText="1"/>
    </xf>
    <xf numFmtId="0" fontId="10" fillId="0" borderId="11" xfId="1" applyFont="1" applyFill="1" applyBorder="1" applyAlignment="1">
      <alignment horizontal="center" vertical="center"/>
    </xf>
    <xf numFmtId="0" fontId="10" fillId="0" borderId="12" xfId="1" applyFont="1" applyFill="1" applyBorder="1" applyAlignment="1">
      <alignment horizontal="center" vertical="center"/>
    </xf>
    <xf numFmtId="0" fontId="10" fillId="2" borderId="12" xfId="1" applyFont="1" applyFill="1" applyBorder="1" applyAlignment="1">
      <alignment horizontal="left" vertical="center" wrapText="1"/>
    </xf>
    <xf numFmtId="3" fontId="10" fillId="0" borderId="12" xfId="1" applyNumberFormat="1" applyFont="1" applyFill="1" applyBorder="1" applyAlignment="1">
      <alignment horizontal="center" vertical="center"/>
    </xf>
    <xf numFmtId="3" fontId="10" fillId="0" borderId="12" xfId="1" applyNumberFormat="1" applyFont="1" applyFill="1" applyBorder="1" applyAlignment="1">
      <alignment horizontal="center" vertical="center" wrapText="1"/>
    </xf>
    <xf numFmtId="9" fontId="10" fillId="0" borderId="4" xfId="1" applyNumberFormat="1" applyFont="1" applyFill="1" applyBorder="1" applyAlignment="1">
      <alignment horizontal="center" vertical="center" wrapText="1"/>
    </xf>
    <xf numFmtId="3" fontId="6" fillId="0" borderId="12" xfId="1" applyNumberFormat="1" applyFont="1" applyFill="1" applyBorder="1" applyAlignment="1">
      <alignment horizontal="center" vertical="center" wrapText="1"/>
    </xf>
    <xf numFmtId="3" fontId="7" fillId="0" borderId="17" xfId="1" applyNumberFormat="1" applyFont="1" applyFill="1" applyBorder="1" applyAlignment="1">
      <alignment horizontal="center" vertical="center"/>
    </xf>
    <xf numFmtId="3" fontId="7" fillId="0" borderId="18" xfId="1" applyNumberFormat="1" applyFont="1" applyFill="1" applyBorder="1" applyAlignment="1">
      <alignment horizontal="center" vertical="center"/>
    </xf>
    <xf numFmtId="3" fontId="12" fillId="0" borderId="2" xfId="1" applyNumberFormat="1" applyFont="1" applyFill="1" applyBorder="1" applyAlignment="1">
      <alignment horizontal="center" vertical="center"/>
    </xf>
    <xf numFmtId="3" fontId="12" fillId="0" borderId="20" xfId="1" applyNumberFormat="1" applyFont="1" applyFill="1" applyBorder="1" applyAlignment="1">
      <alignment horizontal="center" vertical="center"/>
    </xf>
    <xf numFmtId="3" fontId="12" fillId="0" borderId="21" xfId="1" applyNumberFormat="1" applyFont="1" applyFill="1" applyBorder="1" applyAlignment="1">
      <alignment horizontal="center" vertical="center"/>
    </xf>
    <xf numFmtId="0" fontId="13" fillId="0" borderId="0" xfId="1" applyFont="1" applyFill="1"/>
    <xf numFmtId="0" fontId="7" fillId="0" borderId="0" xfId="1" applyFont="1" applyFill="1" applyAlignment="1">
      <alignment wrapText="1"/>
    </xf>
    <xf numFmtId="0" fontId="7" fillId="4" borderId="15" xfId="1" applyFont="1" applyFill="1" applyBorder="1" applyAlignment="1">
      <alignment horizontal="center" vertical="center"/>
    </xf>
    <xf numFmtId="0" fontId="7" fillId="2" borderId="3" xfId="1" applyFont="1" applyFill="1" applyBorder="1" applyAlignment="1">
      <alignment horizontal="left" vertical="center" wrapText="1"/>
    </xf>
    <xf numFmtId="3" fontId="7" fillId="0" borderId="3" xfId="1" applyNumberFormat="1" applyFont="1" applyFill="1" applyBorder="1" applyAlignment="1">
      <alignment horizontal="center"/>
    </xf>
    <xf numFmtId="0" fontId="7" fillId="4" borderId="22" xfId="1" applyFont="1" applyFill="1" applyBorder="1" applyAlignment="1">
      <alignment horizontal="center" vertical="center"/>
    </xf>
    <xf numFmtId="0" fontId="7" fillId="0" borderId="17" xfId="1" applyFont="1" applyFill="1" applyBorder="1" applyAlignment="1">
      <alignment horizontal="center" vertical="center"/>
    </xf>
    <xf numFmtId="0" fontId="10" fillId="0" borderId="17" xfId="1" applyFont="1" applyFill="1" applyBorder="1" applyAlignment="1">
      <alignment horizontal="center" vertical="center"/>
    </xf>
    <xf numFmtId="0" fontId="10" fillId="2" borderId="17" xfId="1" applyFont="1" applyFill="1" applyBorder="1" applyAlignment="1">
      <alignment horizontal="left" vertical="center" wrapText="1"/>
    </xf>
    <xf numFmtId="3" fontId="10" fillId="0" borderId="17" xfId="1" applyNumberFormat="1" applyFont="1" applyFill="1" applyBorder="1" applyAlignment="1">
      <alignment horizontal="center" vertical="center"/>
    </xf>
    <xf numFmtId="3" fontId="10" fillId="0" borderId="17" xfId="1" applyNumberFormat="1" applyFont="1" applyFill="1" applyBorder="1" applyAlignment="1">
      <alignment horizontal="center" vertical="center" wrapText="1"/>
    </xf>
    <xf numFmtId="3" fontId="6" fillId="0" borderId="17" xfId="1" applyNumberFormat="1" applyFont="1" applyFill="1" applyBorder="1" applyAlignment="1">
      <alignment horizontal="center" vertical="center" wrapText="1"/>
    </xf>
    <xf numFmtId="3" fontId="14" fillId="0" borderId="0" xfId="11" applyNumberFormat="1" applyFont="1" applyFill="1"/>
    <xf numFmtId="0" fontId="6" fillId="0" borderId="0" xfId="1" applyFont="1" applyFill="1" applyBorder="1"/>
    <xf numFmtId="3" fontId="12" fillId="5" borderId="2" xfId="1" applyNumberFormat="1" applyFont="1" applyFill="1" applyBorder="1" applyAlignment="1">
      <alignment horizontal="center" vertical="center"/>
    </xf>
    <xf numFmtId="3" fontId="12" fillId="5" borderId="20" xfId="1" applyNumberFormat="1" applyFont="1" applyFill="1" applyBorder="1" applyAlignment="1">
      <alignment horizontal="center" vertical="center"/>
    </xf>
    <xf numFmtId="0" fontId="2" fillId="0" borderId="0" xfId="0" applyFont="1" applyBorder="1" applyAlignment="1"/>
    <xf numFmtId="0" fontId="4" fillId="0" borderId="27" xfId="0" applyFont="1" applyFill="1" applyBorder="1" applyAlignment="1">
      <alignment vertical="center" wrapText="1"/>
    </xf>
    <xf numFmtId="0" fontId="4" fillId="0" borderId="28" xfId="0" applyFont="1" applyFill="1" applyBorder="1" applyAlignment="1">
      <alignment vertical="center" wrapText="1"/>
    </xf>
    <xf numFmtId="4" fontId="4" fillId="0" borderId="28" xfId="0" applyNumberFormat="1" applyFont="1" applyFill="1" applyBorder="1" applyAlignment="1">
      <alignment horizontal="right" vertical="center"/>
    </xf>
    <xf numFmtId="0" fontId="2" fillId="0" borderId="0" xfId="0" applyFont="1" applyBorder="1" applyAlignment="1">
      <alignment horizontal="left"/>
    </xf>
    <xf numFmtId="0" fontId="16" fillId="3" borderId="32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left"/>
    </xf>
    <xf numFmtId="0" fontId="2" fillId="0" borderId="0" xfId="0" applyFont="1" applyBorder="1" applyAlignment="1">
      <alignment horizontal="left"/>
    </xf>
    <xf numFmtId="4" fontId="17" fillId="0" borderId="0" xfId="0" applyNumberFormat="1" applyFont="1"/>
    <xf numFmtId="0" fontId="16" fillId="3" borderId="36" xfId="0" applyFont="1" applyFill="1" applyBorder="1" applyAlignment="1">
      <alignment horizontal="center" vertical="center" wrapText="1"/>
    </xf>
    <xf numFmtId="0" fontId="16" fillId="3" borderId="37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left"/>
    </xf>
    <xf numFmtId="0" fontId="2" fillId="0" borderId="0" xfId="0" applyFont="1" applyBorder="1" applyAlignment="1">
      <alignment horizontal="left"/>
    </xf>
    <xf numFmtId="0" fontId="2" fillId="0" borderId="0" xfId="0" applyFont="1" applyBorder="1" applyAlignment="1">
      <alignment horizontal="left"/>
    </xf>
    <xf numFmtId="0" fontId="2" fillId="0" borderId="0" xfId="0" applyFont="1" applyBorder="1" applyAlignment="1">
      <alignment horizontal="left"/>
    </xf>
    <xf numFmtId="0" fontId="2" fillId="0" borderId="0" xfId="0" applyFont="1" applyBorder="1" applyAlignment="1">
      <alignment horizontal="left"/>
    </xf>
    <xf numFmtId="0" fontId="2" fillId="0" borderId="0" xfId="0" applyFont="1" applyBorder="1" applyAlignment="1">
      <alignment horizontal="left"/>
    </xf>
    <xf numFmtId="0" fontId="2" fillId="0" borderId="0" xfId="0" applyFont="1" applyBorder="1" applyAlignment="1">
      <alignment horizontal="left"/>
    </xf>
    <xf numFmtId="4" fontId="18" fillId="0" borderId="0" xfId="0" applyNumberFormat="1" applyFont="1"/>
    <xf numFmtId="0" fontId="2" fillId="0" borderId="0" xfId="0" applyFont="1" applyBorder="1" applyAlignment="1">
      <alignment horizontal="left"/>
    </xf>
    <xf numFmtId="0" fontId="2" fillId="0" borderId="0" xfId="0" applyFont="1" applyBorder="1" applyAlignment="1">
      <alignment horizontal="left"/>
    </xf>
    <xf numFmtId="0" fontId="2" fillId="0" borderId="0" xfId="0" applyFont="1" applyBorder="1" applyAlignment="1">
      <alignment horizontal="left"/>
    </xf>
    <xf numFmtId="0" fontId="5" fillId="0" borderId="42" xfId="0" applyFont="1" applyFill="1" applyBorder="1" applyAlignment="1">
      <alignment horizontal="center" vertical="center"/>
    </xf>
    <xf numFmtId="0" fontId="5" fillId="0" borderId="43" xfId="0" applyFont="1" applyFill="1" applyBorder="1" applyAlignment="1">
      <alignment horizontal="center" vertical="center"/>
    </xf>
    <xf numFmtId="0" fontId="5" fillId="0" borderId="43" xfId="0" applyFont="1" applyFill="1" applyBorder="1" applyAlignment="1">
      <alignment horizontal="left" vertical="center"/>
    </xf>
    <xf numFmtId="0" fontId="5" fillId="0" borderId="43" xfId="0" applyFont="1" applyFill="1" applyBorder="1" applyAlignment="1">
      <alignment vertical="center" wrapText="1"/>
    </xf>
    <xf numFmtId="4" fontId="5" fillId="0" borderId="43" xfId="0" applyNumberFormat="1" applyFont="1" applyFill="1" applyBorder="1" applyAlignment="1">
      <alignment horizontal="right" vertical="center"/>
    </xf>
    <xf numFmtId="4" fontId="0" fillId="0" borderId="43" xfId="0" applyNumberFormat="1" applyBorder="1"/>
    <xf numFmtId="4" fontId="0" fillId="0" borderId="44" xfId="0" applyNumberFormat="1" applyBorder="1"/>
    <xf numFmtId="0" fontId="5" fillId="0" borderId="45" xfId="0" applyFont="1" applyFill="1" applyBorder="1" applyAlignment="1">
      <alignment horizontal="center" vertical="center"/>
    </xf>
    <xf numFmtId="0" fontId="5" fillId="0" borderId="46" xfId="0" applyFont="1" applyFill="1" applyBorder="1" applyAlignment="1">
      <alignment horizontal="center" vertical="center"/>
    </xf>
    <xf numFmtId="0" fontId="5" fillId="0" borderId="46" xfId="0" applyFont="1" applyFill="1" applyBorder="1" applyAlignment="1">
      <alignment horizontal="left" vertical="center"/>
    </xf>
    <xf numFmtId="0" fontId="5" fillId="0" borderId="46" xfId="0" applyFont="1" applyFill="1" applyBorder="1" applyAlignment="1">
      <alignment vertical="center" wrapText="1"/>
    </xf>
    <xf numFmtId="4" fontId="5" fillId="0" borderId="46" xfId="0" applyNumberFormat="1" applyFont="1" applyFill="1" applyBorder="1" applyAlignment="1">
      <alignment horizontal="right" vertical="center"/>
    </xf>
    <xf numFmtId="4" fontId="0" fillId="0" borderId="46" xfId="0" applyNumberFormat="1" applyBorder="1"/>
    <xf numFmtId="4" fontId="0" fillId="0" borderId="47" xfId="0" applyNumberFormat="1" applyBorder="1"/>
    <xf numFmtId="0" fontId="0" fillId="0" borderId="46" xfId="0" applyBorder="1"/>
    <xf numFmtId="4" fontId="0" fillId="0" borderId="47" xfId="0" applyNumberFormat="1" applyFont="1" applyBorder="1"/>
    <xf numFmtId="0" fontId="5" fillId="0" borderId="48" xfId="0" applyFont="1" applyFill="1" applyBorder="1" applyAlignment="1">
      <alignment horizontal="center" vertical="center"/>
    </xf>
    <xf numFmtId="0" fontId="5" fillId="0" borderId="49" xfId="0" applyFont="1" applyFill="1" applyBorder="1" applyAlignment="1">
      <alignment horizontal="center" vertical="center"/>
    </xf>
    <xf numFmtId="0" fontId="5" fillId="0" borderId="49" xfId="0" applyFont="1" applyFill="1" applyBorder="1" applyAlignment="1">
      <alignment horizontal="left" vertical="center"/>
    </xf>
    <xf numFmtId="0" fontId="5" fillId="0" borderId="49" xfId="0" applyFont="1" applyFill="1" applyBorder="1" applyAlignment="1">
      <alignment vertical="center" wrapText="1"/>
    </xf>
    <xf numFmtId="4" fontId="5" fillId="0" borderId="49" xfId="0" applyNumberFormat="1" applyFont="1" applyFill="1" applyBorder="1" applyAlignment="1">
      <alignment horizontal="right" vertical="center"/>
    </xf>
    <xf numFmtId="4" fontId="0" fillId="0" borderId="49" xfId="0" applyNumberFormat="1" applyBorder="1"/>
    <xf numFmtId="4" fontId="0" fillId="0" borderId="50" xfId="0" applyNumberFormat="1" applyBorder="1"/>
    <xf numFmtId="0" fontId="2" fillId="0" borderId="0" xfId="0" applyFont="1" applyBorder="1" applyAlignment="1">
      <alignment horizontal="left"/>
    </xf>
    <xf numFmtId="0" fontId="2" fillId="0" borderId="0" xfId="0" applyFont="1" applyBorder="1" applyAlignment="1">
      <alignment horizontal="left"/>
    </xf>
    <xf numFmtId="0" fontId="2" fillId="0" borderId="0" xfId="0" applyFont="1" applyBorder="1" applyAlignment="1">
      <alignment horizontal="left"/>
    </xf>
    <xf numFmtId="0" fontId="2" fillId="0" borderId="0" xfId="0" applyFont="1" applyBorder="1" applyAlignment="1">
      <alignment horizontal="left"/>
    </xf>
    <xf numFmtId="4" fontId="20" fillId="0" borderId="0" xfId="0" applyNumberFormat="1" applyFont="1" applyFill="1" applyBorder="1" applyAlignment="1">
      <alignment horizontal="right" vertical="center"/>
    </xf>
    <xf numFmtId="4" fontId="19" fillId="0" borderId="0" xfId="0" applyNumberFormat="1" applyFont="1"/>
    <xf numFmtId="0" fontId="2" fillId="0" borderId="0" xfId="0" applyFont="1" applyBorder="1" applyAlignment="1">
      <alignment horizontal="left"/>
    </xf>
    <xf numFmtId="0" fontId="2" fillId="0" borderId="0" xfId="0" applyFont="1" applyBorder="1" applyAlignment="1">
      <alignment horizontal="left"/>
    </xf>
    <xf numFmtId="4" fontId="0" fillId="0" borderId="47" xfId="0" applyNumberFormat="1" applyBorder="1" applyAlignment="1">
      <alignment vertical="center"/>
    </xf>
    <xf numFmtId="0" fontId="2" fillId="0" borderId="0" xfId="0" applyFont="1" applyBorder="1" applyAlignment="1">
      <alignment horizontal="left"/>
    </xf>
    <xf numFmtId="0" fontId="2" fillId="0" borderId="0" xfId="0" applyFont="1" applyBorder="1" applyAlignment="1">
      <alignment horizontal="left"/>
    </xf>
    <xf numFmtId="0" fontId="2" fillId="0" borderId="0" xfId="0" applyFont="1" applyBorder="1" applyAlignment="1">
      <alignment horizontal="left"/>
    </xf>
    <xf numFmtId="0" fontId="2" fillId="0" borderId="0" xfId="0" applyFont="1" applyBorder="1" applyAlignment="1">
      <alignment horizontal="left"/>
    </xf>
    <xf numFmtId="0" fontId="2" fillId="0" borderId="0" xfId="0" applyFont="1" applyBorder="1" applyAlignment="1">
      <alignment horizontal="left"/>
    </xf>
    <xf numFmtId="0" fontId="2" fillId="0" borderId="0" xfId="0" applyFont="1" applyBorder="1" applyAlignment="1">
      <alignment horizontal="left"/>
    </xf>
    <xf numFmtId="0" fontId="2" fillId="0" borderId="0" xfId="0" applyFont="1" applyBorder="1" applyAlignment="1">
      <alignment horizontal="left"/>
    </xf>
    <xf numFmtId="4" fontId="0" fillId="0" borderId="46" xfId="0" applyNumberFormat="1" applyFill="1" applyBorder="1" applyAlignment="1">
      <alignment vertical="center"/>
    </xf>
    <xf numFmtId="0" fontId="2" fillId="0" borderId="0" xfId="0" applyFont="1" applyBorder="1" applyAlignment="1">
      <alignment horizontal="left"/>
    </xf>
    <xf numFmtId="0" fontId="2" fillId="0" borderId="0" xfId="0" applyFont="1" applyBorder="1" applyAlignment="1">
      <alignment horizontal="left"/>
    </xf>
    <xf numFmtId="0" fontId="2" fillId="0" borderId="0" xfId="0" applyFont="1" applyBorder="1" applyAlignment="1">
      <alignment horizontal="left"/>
    </xf>
    <xf numFmtId="4" fontId="4" fillId="0" borderId="34" xfId="0" applyNumberFormat="1" applyFont="1" applyFill="1" applyBorder="1" applyAlignment="1">
      <alignment horizontal="center" vertical="center"/>
    </xf>
    <xf numFmtId="4" fontId="4" fillId="0" borderId="38" xfId="0" applyNumberFormat="1" applyFont="1" applyFill="1" applyBorder="1" applyAlignment="1">
      <alignment horizontal="center" vertical="center"/>
    </xf>
    <xf numFmtId="0" fontId="1" fillId="3" borderId="30" xfId="0" applyFont="1" applyFill="1" applyBorder="1" applyAlignment="1">
      <alignment horizontal="center" vertical="center" wrapText="1"/>
    </xf>
    <xf numFmtId="0" fontId="1" fillId="3" borderId="29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left"/>
    </xf>
    <xf numFmtId="0" fontId="1" fillId="3" borderId="25" xfId="0" applyFont="1" applyFill="1" applyBorder="1" applyAlignment="1">
      <alignment horizontal="center" vertical="center"/>
    </xf>
    <xf numFmtId="0" fontId="1" fillId="3" borderId="23" xfId="0" applyFont="1" applyFill="1" applyBorder="1" applyAlignment="1">
      <alignment horizontal="center" vertical="center"/>
    </xf>
    <xf numFmtId="0" fontId="1" fillId="3" borderId="24" xfId="0" applyFont="1" applyFill="1" applyBorder="1" applyAlignment="1">
      <alignment horizontal="center" vertical="center"/>
    </xf>
    <xf numFmtId="0" fontId="1" fillId="3" borderId="26" xfId="0" applyFont="1" applyFill="1" applyBorder="1" applyAlignment="1">
      <alignment horizontal="center" vertical="center"/>
    </xf>
    <xf numFmtId="0" fontId="16" fillId="3" borderId="30" xfId="0" applyFont="1" applyFill="1" applyBorder="1" applyAlignment="1">
      <alignment horizontal="center" vertical="center" wrapText="1"/>
    </xf>
    <xf numFmtId="0" fontId="16" fillId="3" borderId="31" xfId="0" applyFont="1" applyFill="1" applyBorder="1" applyAlignment="1">
      <alignment horizontal="center" vertical="center" wrapText="1"/>
    </xf>
    <xf numFmtId="0" fontId="16" fillId="3" borderId="29" xfId="0" applyFont="1" applyFill="1" applyBorder="1" applyAlignment="1">
      <alignment horizontal="center" vertical="center" wrapText="1"/>
    </xf>
    <xf numFmtId="0" fontId="1" fillId="3" borderId="33" xfId="0" applyFont="1" applyFill="1" applyBorder="1" applyAlignment="1">
      <alignment horizontal="center" vertical="center" wrapText="1"/>
    </xf>
    <xf numFmtId="0" fontId="1" fillId="3" borderId="35" xfId="0" applyFont="1" applyFill="1" applyBorder="1" applyAlignment="1">
      <alignment horizontal="center" vertical="center" wrapText="1"/>
    </xf>
    <xf numFmtId="4" fontId="4" fillId="0" borderId="39" xfId="0" applyNumberFormat="1" applyFont="1" applyFill="1" applyBorder="1" applyAlignment="1">
      <alignment horizontal="center" vertical="center"/>
    </xf>
    <xf numFmtId="0" fontId="1" fillId="3" borderId="40" xfId="0" applyFont="1" applyFill="1" applyBorder="1" applyAlignment="1">
      <alignment horizontal="center" vertical="center" wrapText="1"/>
    </xf>
    <xf numFmtId="4" fontId="4" fillId="0" borderId="41" xfId="0" applyNumberFormat="1" applyFont="1" applyFill="1" applyBorder="1" applyAlignment="1">
      <alignment horizontal="center" vertical="center"/>
    </xf>
    <xf numFmtId="0" fontId="6" fillId="0" borderId="9" xfId="1" applyFont="1" applyFill="1" applyBorder="1" applyAlignment="1">
      <alignment horizontal="center" vertical="center"/>
    </xf>
    <xf numFmtId="0" fontId="6" fillId="0" borderId="11" xfId="1" applyFont="1" applyFill="1" applyBorder="1" applyAlignment="1">
      <alignment horizontal="center" vertical="center"/>
    </xf>
    <xf numFmtId="0" fontId="6" fillId="0" borderId="1" xfId="1" applyFont="1" applyFill="1" applyBorder="1" applyAlignment="1">
      <alignment horizontal="center" vertical="center"/>
    </xf>
    <xf numFmtId="0" fontId="6" fillId="0" borderId="2" xfId="1" applyFont="1" applyFill="1" applyBorder="1" applyAlignment="1">
      <alignment horizontal="center" vertical="center"/>
    </xf>
    <xf numFmtId="0" fontId="6" fillId="0" borderId="1" xfId="1" applyFont="1" applyFill="1" applyBorder="1" applyAlignment="1">
      <alignment horizontal="center" vertical="center" wrapText="1"/>
    </xf>
    <xf numFmtId="0" fontId="6" fillId="0" borderId="2" xfId="1" applyFont="1" applyFill="1" applyBorder="1" applyAlignment="1">
      <alignment horizontal="center" vertical="center" wrapText="1"/>
    </xf>
    <xf numFmtId="0" fontId="9" fillId="0" borderId="7" xfId="10" applyFont="1" applyFill="1" applyBorder="1" applyAlignment="1">
      <alignment horizontal="center" vertical="center" wrapText="1"/>
    </xf>
    <xf numFmtId="0" fontId="9" fillId="0" borderId="6" xfId="10" applyFont="1" applyFill="1" applyBorder="1" applyAlignment="1">
      <alignment horizontal="center" vertical="center" wrapText="1"/>
    </xf>
    <xf numFmtId="0" fontId="6" fillId="5" borderId="1" xfId="1" applyFont="1" applyFill="1" applyBorder="1" applyAlignment="1">
      <alignment horizontal="center" vertical="center" wrapText="1"/>
    </xf>
    <xf numFmtId="0" fontId="6" fillId="5" borderId="2" xfId="1" applyFont="1" applyFill="1" applyBorder="1" applyAlignment="1">
      <alignment horizontal="center" vertical="center" wrapText="1"/>
    </xf>
    <xf numFmtId="0" fontId="8" fillId="0" borderId="1" xfId="10" applyFont="1" applyFill="1" applyBorder="1" applyAlignment="1">
      <alignment horizontal="center" vertical="center" wrapText="1"/>
    </xf>
    <xf numFmtId="0" fontId="8" fillId="0" borderId="2" xfId="10" applyFont="1" applyFill="1" applyBorder="1" applyAlignment="1">
      <alignment horizontal="center" vertical="center" wrapText="1"/>
    </xf>
    <xf numFmtId="0" fontId="6" fillId="0" borderId="10" xfId="1" applyFont="1" applyFill="1" applyBorder="1" applyAlignment="1">
      <alignment horizontal="center" vertical="center" wrapText="1"/>
    </xf>
    <xf numFmtId="0" fontId="6" fillId="0" borderId="12" xfId="1" applyFont="1" applyFill="1" applyBorder="1" applyAlignment="1">
      <alignment horizontal="center" vertical="center" wrapText="1"/>
    </xf>
    <xf numFmtId="0" fontId="12" fillId="0" borderId="19" xfId="1" applyFont="1" applyFill="1" applyBorder="1" applyAlignment="1">
      <alignment horizontal="left" vertical="center"/>
    </xf>
    <xf numFmtId="0" fontId="12" fillId="0" borderId="20" xfId="1" applyFont="1" applyFill="1" applyBorder="1" applyAlignment="1">
      <alignment horizontal="left" vertical="center"/>
    </xf>
    <xf numFmtId="0" fontId="13" fillId="0" borderId="5" xfId="11" applyFont="1" applyFill="1" applyBorder="1" applyAlignment="1">
      <alignment horizontal="left" vertical="center"/>
    </xf>
    <xf numFmtId="0" fontId="6" fillId="0" borderId="0" xfId="1" applyFont="1" applyFill="1" applyBorder="1" applyAlignment="1">
      <alignment horizontal="left"/>
    </xf>
  </cellXfs>
  <cellStyles count="13">
    <cellStyle name="Excel Built-in Normal" xfId="12"/>
    <cellStyle name="Normální" xfId="0" builtinId="0"/>
    <cellStyle name="Normální 10" xfId="1"/>
    <cellStyle name="normální 2" xfId="2"/>
    <cellStyle name="Normální 3" xfId="3"/>
    <cellStyle name="Normální 4" xfId="4"/>
    <cellStyle name="Normální 5" xfId="5"/>
    <cellStyle name="Normální 6" xfId="6"/>
    <cellStyle name="Normální 7" xfId="7"/>
    <cellStyle name="Normální 8" xfId="8"/>
    <cellStyle name="Normální 9" xfId="9"/>
    <cellStyle name="normální_kultura2-upravené priority-3" xfId="10"/>
    <cellStyle name="normální_Sešit1" xfId="11"/>
  </cellStyles>
  <dxfs count="0"/>
  <tableStyles count="0" defaultTableStyle="TableStyleMedium2" defaultPivotStyle="PivotStyleLight16"/>
  <colors>
    <mruColors>
      <color rgb="FFFF3300"/>
      <color rgb="FFFF5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BP12"/>
  <sheetViews>
    <sheetView tabSelected="1" zoomScale="90" zoomScaleNormal="90" zoomScaleSheetLayoutView="100" workbookViewId="0">
      <selection activeCell="J5" sqref="J5"/>
    </sheetView>
  </sheetViews>
  <sheetFormatPr defaultRowHeight="15" x14ac:dyDescent="0.25"/>
  <cols>
    <col min="1" max="1" width="1.5703125" customWidth="1"/>
    <col min="2" max="2" width="5.140625" customWidth="1"/>
    <col min="3" max="3" width="8.42578125" customWidth="1"/>
    <col min="4" max="4" width="21.140625" customWidth="1"/>
    <col min="5" max="5" width="27.140625" customWidth="1"/>
    <col min="6" max="6" width="17.140625" customWidth="1"/>
    <col min="7" max="7" width="19.7109375" customWidth="1"/>
    <col min="8" max="10" width="16.42578125" customWidth="1"/>
    <col min="11" max="29" width="16.42578125" hidden="1" customWidth="1"/>
    <col min="30" max="30" width="12.42578125" hidden="1" customWidth="1"/>
    <col min="31" max="31" width="17" hidden="1" customWidth="1"/>
    <col min="32" max="32" width="12.42578125" hidden="1" customWidth="1"/>
    <col min="33" max="33" width="17" hidden="1" customWidth="1"/>
    <col min="34" max="34" width="12.42578125" hidden="1" customWidth="1"/>
    <col min="35" max="35" width="17" hidden="1" customWidth="1"/>
    <col min="36" max="36" width="12.42578125" hidden="1" customWidth="1"/>
    <col min="37" max="37" width="17" hidden="1" customWidth="1"/>
    <col min="38" max="38" width="12.42578125" hidden="1" customWidth="1"/>
    <col min="39" max="39" width="17" hidden="1" customWidth="1"/>
    <col min="40" max="41" width="13.140625" hidden="1" customWidth="1"/>
    <col min="42" max="42" width="12.42578125" hidden="1" customWidth="1"/>
    <col min="43" max="43" width="11.28515625" hidden="1" customWidth="1"/>
    <col min="44" max="44" width="12.42578125" hidden="1" customWidth="1"/>
    <col min="45" max="45" width="11.28515625" hidden="1" customWidth="1"/>
    <col min="46" max="46" width="12.42578125" hidden="1" customWidth="1"/>
    <col min="47" max="50" width="13.140625" hidden="1" customWidth="1"/>
    <col min="51" max="51" width="10.140625" hidden="1" customWidth="1"/>
    <col min="52" max="52" width="12.42578125" hidden="1" customWidth="1"/>
    <col min="53" max="53" width="13.140625" hidden="1" customWidth="1"/>
    <col min="54" max="54" width="12.42578125" hidden="1" customWidth="1"/>
    <col min="55" max="58" width="13.140625" hidden="1" customWidth="1"/>
    <col min="59" max="59" width="10.140625" hidden="1" customWidth="1"/>
    <col min="60" max="60" width="12.42578125" hidden="1" customWidth="1"/>
    <col min="61" max="61" width="13.140625" hidden="1" customWidth="1"/>
    <col min="62" max="62" width="12.42578125" hidden="1" customWidth="1"/>
    <col min="63" max="63" width="10.140625" hidden="1" customWidth="1"/>
    <col min="64" max="64" width="12.42578125" hidden="1" customWidth="1"/>
    <col min="65" max="65" width="17" bestFit="1" customWidth="1"/>
    <col min="66" max="66" width="16.42578125" customWidth="1"/>
    <col min="67" max="67" width="16" customWidth="1"/>
    <col min="68" max="68" width="15.5703125" customWidth="1"/>
  </cols>
  <sheetData>
    <row r="1" spans="2:68" ht="19.5" thickBot="1" x14ac:dyDescent="0.35">
      <c r="B1" s="123" t="s">
        <v>29</v>
      </c>
      <c r="C1" s="123"/>
      <c r="D1" s="123"/>
      <c r="E1" s="123"/>
      <c r="F1" s="123"/>
      <c r="G1" s="58"/>
      <c r="H1" s="58"/>
      <c r="I1" s="118"/>
      <c r="J1" s="118"/>
      <c r="K1" s="117"/>
      <c r="L1" s="117"/>
      <c r="M1" s="116"/>
      <c r="N1" s="116"/>
      <c r="O1" s="114"/>
      <c r="P1" s="114"/>
      <c r="Q1" s="113"/>
      <c r="R1" s="113"/>
      <c r="S1" s="112"/>
      <c r="T1" s="112"/>
      <c r="U1" s="111"/>
      <c r="V1" s="111"/>
      <c r="W1" s="110"/>
      <c r="X1" s="110"/>
      <c r="Y1" s="109"/>
      <c r="Z1" s="109"/>
      <c r="AA1" s="108"/>
      <c r="AB1" s="108"/>
      <c r="AC1" s="106"/>
      <c r="AD1" s="106"/>
      <c r="AE1" s="105"/>
      <c r="AF1" s="105"/>
      <c r="AG1" s="102"/>
      <c r="AH1" s="102"/>
      <c r="AI1" s="101"/>
      <c r="AJ1" s="101"/>
      <c r="AK1" s="100"/>
      <c r="AL1" s="100"/>
      <c r="AM1" s="99"/>
      <c r="AN1" s="99"/>
      <c r="AO1" s="75"/>
      <c r="AP1" s="75"/>
      <c r="AQ1" s="74"/>
      <c r="AR1" s="74"/>
      <c r="AS1" s="73"/>
      <c r="AT1" s="73"/>
      <c r="AU1" s="71"/>
      <c r="AV1" s="71"/>
      <c r="AW1" s="70"/>
      <c r="AX1" s="70"/>
      <c r="AY1" s="69"/>
      <c r="AZ1" s="69"/>
      <c r="BA1" s="68"/>
      <c r="BB1" s="68"/>
      <c r="BC1" s="67"/>
      <c r="BD1" s="67"/>
      <c r="BE1" s="66"/>
      <c r="BF1" s="66"/>
      <c r="BG1" s="65"/>
      <c r="BH1" s="65"/>
      <c r="BI1" s="61"/>
      <c r="BJ1" s="60"/>
      <c r="BK1" s="61"/>
      <c r="BL1" s="54"/>
      <c r="BM1" s="54"/>
      <c r="BP1" s="1" t="s">
        <v>27</v>
      </c>
    </row>
    <row r="2" spans="2:68" ht="33.75" customHeight="1" thickTop="1" x14ac:dyDescent="0.25">
      <c r="B2" s="126" t="s">
        <v>5</v>
      </c>
      <c r="C2" s="124" t="s">
        <v>0</v>
      </c>
      <c r="D2" s="124" t="s">
        <v>38</v>
      </c>
      <c r="E2" s="124" t="s">
        <v>1</v>
      </c>
      <c r="F2" s="128" t="s">
        <v>57</v>
      </c>
      <c r="G2" s="129"/>
      <c r="H2" s="130"/>
      <c r="I2" s="121" t="s">
        <v>69</v>
      </c>
      <c r="J2" s="122"/>
      <c r="K2" s="121" t="s">
        <v>68</v>
      </c>
      <c r="L2" s="122"/>
      <c r="M2" s="121" t="s">
        <v>67</v>
      </c>
      <c r="N2" s="122"/>
      <c r="O2" s="121" t="s">
        <v>66</v>
      </c>
      <c r="P2" s="122"/>
      <c r="Q2" s="121" t="s">
        <v>65</v>
      </c>
      <c r="R2" s="122"/>
      <c r="S2" s="121" t="s">
        <v>64</v>
      </c>
      <c r="T2" s="122"/>
      <c r="U2" s="121" t="s">
        <v>63</v>
      </c>
      <c r="V2" s="122"/>
      <c r="W2" s="121" t="s">
        <v>62</v>
      </c>
      <c r="X2" s="122"/>
      <c r="Y2" s="121" t="s">
        <v>61</v>
      </c>
      <c r="Z2" s="122"/>
      <c r="AA2" s="121" t="s">
        <v>60</v>
      </c>
      <c r="AB2" s="122"/>
      <c r="AC2" s="121" t="s">
        <v>59</v>
      </c>
      <c r="AD2" s="122"/>
      <c r="AE2" s="121" t="s">
        <v>58</v>
      </c>
      <c r="AF2" s="122"/>
      <c r="AG2" s="121" t="s">
        <v>56</v>
      </c>
      <c r="AH2" s="122"/>
      <c r="AI2" s="121" t="s">
        <v>55</v>
      </c>
      <c r="AJ2" s="122"/>
      <c r="AK2" s="121" t="s">
        <v>54</v>
      </c>
      <c r="AL2" s="122"/>
      <c r="AM2" s="121" t="s">
        <v>53</v>
      </c>
      <c r="AN2" s="122"/>
      <c r="AO2" s="121" t="s">
        <v>52</v>
      </c>
      <c r="AP2" s="122"/>
      <c r="AQ2" s="121" t="s">
        <v>41</v>
      </c>
      <c r="AR2" s="122"/>
      <c r="AS2" s="121" t="s">
        <v>42</v>
      </c>
      <c r="AT2" s="122"/>
      <c r="AU2" s="121" t="s">
        <v>43</v>
      </c>
      <c r="AV2" s="122"/>
      <c r="AW2" s="121" t="s">
        <v>44</v>
      </c>
      <c r="AX2" s="122"/>
      <c r="AY2" s="121" t="s">
        <v>45</v>
      </c>
      <c r="AZ2" s="122"/>
      <c r="BA2" s="121" t="s">
        <v>46</v>
      </c>
      <c r="BB2" s="122"/>
      <c r="BC2" s="121" t="s">
        <v>47</v>
      </c>
      <c r="BD2" s="122"/>
      <c r="BE2" s="121" t="s">
        <v>48</v>
      </c>
      <c r="BF2" s="122"/>
      <c r="BG2" s="121" t="s">
        <v>49</v>
      </c>
      <c r="BH2" s="122"/>
      <c r="BI2" s="121" t="s">
        <v>50</v>
      </c>
      <c r="BJ2" s="122"/>
      <c r="BK2" s="121" t="s">
        <v>51</v>
      </c>
      <c r="BL2" s="122"/>
      <c r="BM2" s="131" t="s">
        <v>35</v>
      </c>
      <c r="BN2" s="134"/>
      <c r="BO2" s="131" t="s">
        <v>36</v>
      </c>
      <c r="BP2" s="132"/>
    </row>
    <row r="3" spans="2:68" ht="30.75" customHeight="1" thickBot="1" x14ac:dyDescent="0.3">
      <c r="B3" s="127"/>
      <c r="C3" s="125"/>
      <c r="D3" s="125"/>
      <c r="E3" s="125"/>
      <c r="F3" s="59" t="s">
        <v>31</v>
      </c>
      <c r="G3" s="59" t="s">
        <v>32</v>
      </c>
      <c r="H3" s="59" t="s">
        <v>2</v>
      </c>
      <c r="I3" s="59" t="s">
        <v>31</v>
      </c>
      <c r="J3" s="59" t="s">
        <v>32</v>
      </c>
      <c r="K3" s="59" t="s">
        <v>31</v>
      </c>
      <c r="L3" s="59" t="s">
        <v>32</v>
      </c>
      <c r="M3" s="59" t="s">
        <v>31</v>
      </c>
      <c r="N3" s="59" t="s">
        <v>32</v>
      </c>
      <c r="O3" s="59" t="s">
        <v>31</v>
      </c>
      <c r="P3" s="59" t="s">
        <v>32</v>
      </c>
      <c r="Q3" s="59" t="s">
        <v>31</v>
      </c>
      <c r="R3" s="59" t="s">
        <v>32</v>
      </c>
      <c r="S3" s="59" t="s">
        <v>31</v>
      </c>
      <c r="T3" s="59" t="s">
        <v>32</v>
      </c>
      <c r="U3" s="59" t="s">
        <v>31</v>
      </c>
      <c r="V3" s="59" t="s">
        <v>32</v>
      </c>
      <c r="W3" s="59" t="s">
        <v>31</v>
      </c>
      <c r="X3" s="59" t="s">
        <v>32</v>
      </c>
      <c r="Y3" s="59" t="s">
        <v>31</v>
      </c>
      <c r="Z3" s="59" t="s">
        <v>32</v>
      </c>
      <c r="AA3" s="59" t="s">
        <v>31</v>
      </c>
      <c r="AB3" s="59" t="s">
        <v>32</v>
      </c>
      <c r="AC3" s="59" t="s">
        <v>31</v>
      </c>
      <c r="AD3" s="59" t="s">
        <v>32</v>
      </c>
      <c r="AE3" s="59" t="s">
        <v>31</v>
      </c>
      <c r="AF3" s="59" t="s">
        <v>32</v>
      </c>
      <c r="AG3" s="59" t="s">
        <v>31</v>
      </c>
      <c r="AH3" s="59" t="s">
        <v>32</v>
      </c>
      <c r="AI3" s="59" t="s">
        <v>31</v>
      </c>
      <c r="AJ3" s="59" t="s">
        <v>32</v>
      </c>
      <c r="AK3" s="59" t="s">
        <v>31</v>
      </c>
      <c r="AL3" s="59" t="s">
        <v>32</v>
      </c>
      <c r="AM3" s="59" t="s">
        <v>31</v>
      </c>
      <c r="AN3" s="59" t="s">
        <v>32</v>
      </c>
      <c r="AO3" s="59" t="s">
        <v>31</v>
      </c>
      <c r="AP3" s="59" t="s">
        <v>32</v>
      </c>
      <c r="AQ3" s="59" t="s">
        <v>31</v>
      </c>
      <c r="AR3" s="59" t="s">
        <v>32</v>
      </c>
      <c r="AS3" s="59" t="s">
        <v>31</v>
      </c>
      <c r="AT3" s="59" t="s">
        <v>32</v>
      </c>
      <c r="AU3" s="59" t="s">
        <v>31</v>
      </c>
      <c r="AV3" s="59" t="s">
        <v>32</v>
      </c>
      <c r="AW3" s="59" t="s">
        <v>31</v>
      </c>
      <c r="AX3" s="59" t="s">
        <v>32</v>
      </c>
      <c r="AY3" s="59" t="s">
        <v>31</v>
      </c>
      <c r="AZ3" s="59" t="s">
        <v>32</v>
      </c>
      <c r="BA3" s="59" t="s">
        <v>31</v>
      </c>
      <c r="BB3" s="59" t="s">
        <v>32</v>
      </c>
      <c r="BC3" s="59" t="s">
        <v>31</v>
      </c>
      <c r="BD3" s="59" t="s">
        <v>32</v>
      </c>
      <c r="BE3" s="59" t="s">
        <v>31</v>
      </c>
      <c r="BF3" s="59" t="s">
        <v>32</v>
      </c>
      <c r="BG3" s="59" t="s">
        <v>31</v>
      </c>
      <c r="BH3" s="59" t="s">
        <v>32</v>
      </c>
      <c r="BI3" s="59" t="s">
        <v>31</v>
      </c>
      <c r="BJ3" s="59" t="s">
        <v>32</v>
      </c>
      <c r="BK3" s="59" t="s">
        <v>31</v>
      </c>
      <c r="BL3" s="59" t="s">
        <v>32</v>
      </c>
      <c r="BM3" s="63" t="s">
        <v>31</v>
      </c>
      <c r="BN3" s="63" t="s">
        <v>32</v>
      </c>
      <c r="BO3" s="63" t="s">
        <v>31</v>
      </c>
      <c r="BP3" s="64" t="s">
        <v>32</v>
      </c>
    </row>
    <row r="4" spans="2:68" ht="22.5" hidden="1" customHeight="1" thickTop="1" x14ac:dyDescent="0.25">
      <c r="B4" s="76">
        <v>50</v>
      </c>
      <c r="C4" s="77">
        <v>100913</v>
      </c>
      <c r="D4" s="78" t="s">
        <v>39</v>
      </c>
      <c r="E4" s="79" t="s">
        <v>28</v>
      </c>
      <c r="F4" s="80">
        <v>17790000</v>
      </c>
      <c r="G4" s="80">
        <v>14015000</v>
      </c>
      <c r="H4" s="80">
        <f>F4+G4</f>
        <v>31805000</v>
      </c>
      <c r="I4" s="80"/>
      <c r="J4" s="80"/>
      <c r="K4" s="80"/>
      <c r="L4" s="80"/>
      <c r="M4" s="80"/>
      <c r="N4" s="80"/>
      <c r="O4" s="80"/>
      <c r="P4" s="80"/>
      <c r="Q4" s="80"/>
      <c r="R4" s="80"/>
      <c r="S4" s="80"/>
      <c r="T4" s="80"/>
      <c r="U4" s="80"/>
      <c r="V4" s="80"/>
      <c r="W4" s="80"/>
      <c r="X4" s="80"/>
      <c r="Y4" s="80"/>
      <c r="Z4" s="80"/>
      <c r="AA4" s="80"/>
      <c r="AB4" s="80"/>
      <c r="AC4" s="80"/>
      <c r="AD4" s="80"/>
      <c r="AE4" s="80"/>
      <c r="AF4" s="80"/>
      <c r="AG4" s="80">
        <f>6050+1064.8</f>
        <v>7114.8</v>
      </c>
      <c r="AH4" s="80">
        <f>54450+28798-0.02</f>
        <v>83247.98</v>
      </c>
      <c r="AI4" s="80">
        <f>1064.8+8549.86</f>
        <v>9614.66</v>
      </c>
      <c r="AJ4" s="80"/>
      <c r="AK4" s="80"/>
      <c r="AL4" s="80">
        <v>537240</v>
      </c>
      <c r="AM4" s="80">
        <f>10055.1+1064.8+64222.47+405666.07</f>
        <v>481008.44</v>
      </c>
      <c r="AN4" s="80">
        <f>204623.1+2435310.31</f>
        <v>2639933.41</v>
      </c>
      <c r="AO4" s="80">
        <f>1027714.58+10890+1064.8</f>
        <v>1039669.38</v>
      </c>
      <c r="AP4" s="80">
        <f>136004+32186</f>
        <v>168190</v>
      </c>
      <c r="AQ4" s="80"/>
      <c r="AR4" s="80"/>
      <c r="AS4" s="80"/>
      <c r="AT4" s="80"/>
      <c r="AU4" s="80">
        <f>1749269.5+10890+1064.8</f>
        <v>1761224.3</v>
      </c>
      <c r="AV4" s="80">
        <v>12977.25</v>
      </c>
      <c r="AW4" s="80">
        <f>3390172.97+1064.8+10890</f>
        <v>3402127.77</v>
      </c>
      <c r="AX4" s="80">
        <v>2991219.17</v>
      </c>
      <c r="AY4" s="80">
        <f>10890+1064.8</f>
        <v>11954.8</v>
      </c>
      <c r="AZ4" s="80">
        <v>33033</v>
      </c>
      <c r="BA4" s="80">
        <v>2697982.3</v>
      </c>
      <c r="BB4" s="80">
        <v>555626.86</v>
      </c>
      <c r="BC4" s="80">
        <f>4237396.75+12705+1064.8</f>
        <v>4251166.55</v>
      </c>
      <c r="BD4" s="80">
        <v>1639880.39</v>
      </c>
      <c r="BE4" s="80">
        <v>3563957.34</v>
      </c>
      <c r="BF4" s="80">
        <f>50820+2059531.44</f>
        <v>2110351.44</v>
      </c>
      <c r="BG4" s="80"/>
      <c r="BH4" s="80"/>
      <c r="BI4" s="80"/>
      <c r="BJ4" s="80"/>
      <c r="BK4" s="80"/>
      <c r="BL4" s="80">
        <v>532.4</v>
      </c>
      <c r="BM4" s="80">
        <f>BK4+BI4+BG4+BE4+BC4+BA4+AY4+AW4+AU4+AS4+AQ4+AO4+AM4+AK4+AI4+AG4</f>
        <v>17225820.340000004</v>
      </c>
      <c r="BN4" s="80">
        <f>BL4+BJ4+BH4+BF4+BD4+BB4+AZ4+AX4+AV4+AT4+AR4+AP4+AN4+AL4+AJ4+AH4</f>
        <v>10772231.9</v>
      </c>
      <c r="BO4" s="81">
        <f t="shared" ref="BO4:BP8" si="0">F4-BM4</f>
        <v>564179.65999999642</v>
      </c>
      <c r="BP4" s="82">
        <f t="shared" si="0"/>
        <v>3242768.0999999996</v>
      </c>
    </row>
    <row r="5" spans="2:68" ht="22.5" customHeight="1" thickTop="1" thickBot="1" x14ac:dyDescent="0.3">
      <c r="B5" s="83">
        <v>50</v>
      </c>
      <c r="C5" s="84">
        <v>100919</v>
      </c>
      <c r="D5" s="85" t="s">
        <v>39</v>
      </c>
      <c r="E5" s="86" t="s">
        <v>30</v>
      </c>
      <c r="F5" s="87">
        <f>4730000+6600000+6017991.95-600000+783720.85+2100000</f>
        <v>19631712.800000001</v>
      </c>
      <c r="G5" s="87">
        <f>20400000+600000-783720.85-2100000</f>
        <v>18116279.149999999</v>
      </c>
      <c r="H5" s="87">
        <f>F5+G5</f>
        <v>37747991.950000003</v>
      </c>
      <c r="I5" s="87">
        <f>1703.68+19602+8167.5</f>
        <v>29473.18</v>
      </c>
      <c r="J5" s="87">
        <f>47432+16456+58593.79</f>
        <v>122481.79000000001</v>
      </c>
      <c r="K5" s="87">
        <v>1658802.41</v>
      </c>
      <c r="L5" s="87">
        <v>2657829.0499999998</v>
      </c>
      <c r="M5" s="87">
        <f>6760+1703.68</f>
        <v>8463.68</v>
      </c>
      <c r="N5" s="87">
        <v>14075</v>
      </c>
      <c r="O5" s="87">
        <f>8167.5+1916.64+3944242.53</f>
        <v>3954326.67</v>
      </c>
      <c r="P5" s="87">
        <f>1401369.71+59048</f>
        <v>1460417.71</v>
      </c>
      <c r="Q5" s="87">
        <f>8167.5+1771.44+4441687.7+1916.64</f>
        <v>4453543.28</v>
      </c>
      <c r="R5" s="87">
        <f>50336+2681188.83</f>
        <v>2731524.83</v>
      </c>
      <c r="S5" s="87">
        <f>8167.5+1916.64+2923964.87</f>
        <v>2934049.0100000002</v>
      </c>
      <c r="T5" s="87">
        <v>1292361.2</v>
      </c>
      <c r="U5" s="87">
        <f>8167.5+1703.68+2307927.12</f>
        <v>2317798.3000000003</v>
      </c>
      <c r="V5" s="87">
        <f>475117.43+44528</f>
        <v>519645.43</v>
      </c>
      <c r="W5" s="87">
        <v>2261756.88</v>
      </c>
      <c r="X5" s="87">
        <v>168333.29</v>
      </c>
      <c r="Y5" s="87">
        <f>1916.64+8167.5</f>
        <v>10084.14</v>
      </c>
      <c r="Z5" s="87">
        <v>0</v>
      </c>
      <c r="AA5" s="87">
        <f>8167.5+2163.48+1578787.62</f>
        <v>1589118.6</v>
      </c>
      <c r="AB5" s="87">
        <v>342841.55</v>
      </c>
      <c r="AC5" s="87">
        <v>0</v>
      </c>
      <c r="AD5" s="87">
        <v>42350</v>
      </c>
      <c r="AE5" s="87">
        <v>0</v>
      </c>
      <c r="AF5" s="87">
        <v>61710</v>
      </c>
      <c r="AG5" s="87"/>
      <c r="AH5" s="87"/>
      <c r="AI5" s="87"/>
      <c r="AJ5" s="87"/>
      <c r="AK5" s="87"/>
      <c r="AL5" s="87"/>
      <c r="AM5" s="87"/>
      <c r="AN5" s="87"/>
      <c r="AO5" s="87"/>
      <c r="AP5" s="87"/>
      <c r="AQ5" s="87"/>
      <c r="AR5" s="87"/>
      <c r="AS5" s="87"/>
      <c r="AT5" s="87"/>
      <c r="AU5" s="87"/>
      <c r="AV5" s="87"/>
      <c r="AW5" s="87"/>
      <c r="AX5" s="87"/>
      <c r="AY5" s="87"/>
      <c r="AZ5" s="87"/>
      <c r="BA5" s="87"/>
      <c r="BB5" s="87"/>
      <c r="BC5" s="87"/>
      <c r="BD5" s="87"/>
      <c r="BE5" s="87"/>
      <c r="BF5" s="87"/>
      <c r="BG5" s="87"/>
      <c r="BH5" s="87"/>
      <c r="BI5" s="87"/>
      <c r="BJ5" s="87"/>
      <c r="BK5" s="87"/>
      <c r="BL5" s="87"/>
      <c r="BM5" s="87">
        <f>BK5+BI5+BG5+BE5+BC5+BA5+AY5+AW5+AU5+AS5+AQ5+AO5+AM5+AK5+AI5+AG5+AE5+AC5+AA5+Y5+W5+U5+S5+Q5+O5+M5+K5+I5</f>
        <v>19217416.150000002</v>
      </c>
      <c r="BN5" s="87">
        <f>BL5+BJ5+BH5+BF5+BD5+BB5+AZ5+AX5+AV5+AT5+AR5+AP5+AN5+AL5+AJ5+AH5+AF5+AD5+AB5+Z5+X5+V5+T5+R5+P5+N5+L5+J5</f>
        <v>9413569.8499999978</v>
      </c>
      <c r="BO5" s="115">
        <f t="shared" si="0"/>
        <v>414296.64999999851</v>
      </c>
      <c r="BP5" s="107">
        <f t="shared" si="0"/>
        <v>8702709.3000000007</v>
      </c>
    </row>
    <row r="6" spans="2:68" ht="22.5" hidden="1" customHeight="1" x14ac:dyDescent="0.25">
      <c r="B6" s="83">
        <v>12</v>
      </c>
      <c r="C6" s="84" t="s">
        <v>20</v>
      </c>
      <c r="D6" s="85" t="s">
        <v>40</v>
      </c>
      <c r="E6" s="86" t="s">
        <v>33</v>
      </c>
      <c r="F6" s="87">
        <v>9200000</v>
      </c>
      <c r="G6" s="87">
        <f>1800000-591000</f>
        <v>1209000</v>
      </c>
      <c r="H6" s="87">
        <f>F6+G6</f>
        <v>10409000</v>
      </c>
      <c r="I6" s="87"/>
      <c r="J6" s="87"/>
      <c r="K6" s="87"/>
      <c r="L6" s="87"/>
      <c r="M6" s="87"/>
      <c r="N6" s="87"/>
      <c r="O6" s="87"/>
      <c r="P6" s="87"/>
      <c r="Q6" s="87"/>
      <c r="R6" s="87"/>
      <c r="S6" s="87"/>
      <c r="T6" s="87"/>
      <c r="U6" s="87"/>
      <c r="V6" s="87"/>
      <c r="W6" s="87"/>
      <c r="X6" s="87"/>
      <c r="Y6" s="87"/>
      <c r="Z6" s="87"/>
      <c r="AA6" s="87"/>
      <c r="AB6" s="87"/>
      <c r="AC6" s="87"/>
      <c r="AD6" s="87"/>
      <c r="AE6" s="87"/>
      <c r="AF6" s="87"/>
      <c r="AG6" s="87"/>
      <c r="AH6" s="87"/>
      <c r="AI6" s="87"/>
      <c r="AJ6" s="87"/>
      <c r="AK6" s="87"/>
      <c r="AL6" s="87"/>
      <c r="AM6" s="87"/>
      <c r="AN6" s="87"/>
      <c r="AO6" s="87">
        <f>5771.7+242+1713133.57</f>
        <v>1719147.27</v>
      </c>
      <c r="AP6" s="87">
        <v>211376.53</v>
      </c>
      <c r="AQ6" s="87"/>
      <c r="AR6" s="87"/>
      <c r="AS6" s="87">
        <v>605</v>
      </c>
      <c r="AT6" s="87"/>
      <c r="AU6" s="87">
        <f>484+1923953.76+2296640.87</f>
        <v>4221078.63</v>
      </c>
      <c r="AV6" s="87">
        <f>73447+190635.39+162620.91</f>
        <v>426703.30000000005</v>
      </c>
      <c r="AW6" s="87">
        <v>605</v>
      </c>
      <c r="AX6" s="87"/>
      <c r="AY6" s="87"/>
      <c r="AZ6" s="87"/>
      <c r="BA6" s="87">
        <v>1275454.6299999999</v>
      </c>
      <c r="BB6" s="87">
        <v>231663.53</v>
      </c>
      <c r="BC6" s="87">
        <f>396707.31+242</f>
        <v>396949.31</v>
      </c>
      <c r="BD6" s="87">
        <v>273567.65000000002</v>
      </c>
      <c r="BE6" s="87"/>
      <c r="BF6" s="87"/>
      <c r="BG6" s="87">
        <v>53674.1</v>
      </c>
      <c r="BH6" s="87"/>
      <c r="BI6" s="87">
        <v>1504636.83</v>
      </c>
      <c r="BJ6" s="87">
        <v>65144.34</v>
      </c>
      <c r="BK6" s="87"/>
      <c r="BL6" s="90"/>
      <c r="BM6" s="87">
        <f t="shared" ref="BM6:BN8" si="1">BK6+BI6+BG6+BE6+BC6+BA6+AY6+AW6+AU6+AS6+AQ6+AO6+AM6+AK6+AI6+AG6</f>
        <v>9172150.7699999996</v>
      </c>
      <c r="BN6" s="87">
        <f t="shared" si="1"/>
        <v>1208455.3500000001</v>
      </c>
      <c r="BO6" s="88">
        <f t="shared" si="0"/>
        <v>27849.230000000447</v>
      </c>
      <c r="BP6" s="89">
        <f t="shared" si="0"/>
        <v>544.64999999990687</v>
      </c>
    </row>
    <row r="7" spans="2:68" ht="22.5" hidden="1" customHeight="1" x14ac:dyDescent="0.25">
      <c r="B7" s="83">
        <v>12</v>
      </c>
      <c r="C7" s="84" t="s">
        <v>20</v>
      </c>
      <c r="D7" s="85" t="s">
        <v>40</v>
      </c>
      <c r="E7" s="86" t="s">
        <v>37</v>
      </c>
      <c r="F7" s="87">
        <f>16646000-1746000+591000</f>
        <v>15491000</v>
      </c>
      <c r="G7" s="87">
        <f>3254000+1746000</f>
        <v>5000000</v>
      </c>
      <c r="H7" s="87">
        <f>F7+G7</f>
        <v>20491000</v>
      </c>
      <c r="I7" s="87"/>
      <c r="J7" s="87"/>
      <c r="K7" s="87"/>
      <c r="L7" s="87"/>
      <c r="M7" s="87"/>
      <c r="N7" s="87"/>
      <c r="O7" s="87"/>
      <c r="P7" s="87"/>
      <c r="Q7" s="87"/>
      <c r="R7" s="87"/>
      <c r="S7" s="87"/>
      <c r="T7" s="87"/>
      <c r="U7" s="87"/>
      <c r="V7" s="87"/>
      <c r="W7" s="87"/>
      <c r="X7" s="87"/>
      <c r="Y7" s="87"/>
      <c r="Z7" s="87"/>
      <c r="AA7" s="87"/>
      <c r="AB7" s="87"/>
      <c r="AC7" s="87"/>
      <c r="AD7" s="87"/>
      <c r="AE7" s="87"/>
      <c r="AF7" s="87"/>
      <c r="AG7" s="87"/>
      <c r="AH7" s="87"/>
      <c r="AI7" s="87"/>
      <c r="AJ7" s="87"/>
      <c r="AK7" s="87">
        <v>7550.4</v>
      </c>
      <c r="AL7" s="87"/>
      <c r="AM7" s="87"/>
      <c r="AN7" s="87"/>
      <c r="AO7" s="87">
        <f>121+605+865.2+1885682.03+342145.83</f>
        <v>2229419.06</v>
      </c>
      <c r="AP7" s="87">
        <f>446033.46+43963.74</f>
        <v>489997.2</v>
      </c>
      <c r="AQ7" s="87"/>
      <c r="AR7" s="87"/>
      <c r="AS7" s="87">
        <v>484</v>
      </c>
      <c r="AT7" s="87"/>
      <c r="AU7" s="87">
        <f>484+3312968.8+2983263.79</f>
        <v>6296716.5899999999</v>
      </c>
      <c r="AV7" s="87">
        <f>564051.18+632294.66</f>
        <v>1196345.8400000001</v>
      </c>
      <c r="AW7" s="87">
        <f>2947551.7+605</f>
        <v>2948156.7</v>
      </c>
      <c r="AX7" s="87">
        <v>1732105.75</v>
      </c>
      <c r="AY7" s="87"/>
      <c r="AZ7" s="87"/>
      <c r="BA7" s="87"/>
      <c r="BB7" s="87"/>
      <c r="BC7" s="87">
        <f>4366.7+605+1933870.89+1095.1</f>
        <v>1939937.69</v>
      </c>
      <c r="BD7" s="87">
        <v>537892.19999999995</v>
      </c>
      <c r="BE7" s="87">
        <v>1993800.33</v>
      </c>
      <c r="BF7" s="87">
        <v>890024.15</v>
      </c>
      <c r="BG7" s="87"/>
      <c r="BH7" s="87"/>
      <c r="BI7" s="87"/>
      <c r="BJ7" s="87"/>
      <c r="BK7" s="87"/>
      <c r="BL7" s="87"/>
      <c r="BM7" s="87">
        <f t="shared" si="1"/>
        <v>15416064.770000001</v>
      </c>
      <c r="BN7" s="87">
        <f t="shared" si="1"/>
        <v>4846365.1400000006</v>
      </c>
      <c r="BO7" s="88">
        <f t="shared" si="0"/>
        <v>74935.229999998584</v>
      </c>
      <c r="BP7" s="91">
        <f t="shared" si="0"/>
        <v>153634.8599999994</v>
      </c>
    </row>
    <row r="8" spans="2:68" ht="22.5" hidden="1" customHeight="1" thickBot="1" x14ac:dyDescent="0.3">
      <c r="B8" s="92">
        <v>12</v>
      </c>
      <c r="C8" s="93" t="s">
        <v>20</v>
      </c>
      <c r="D8" s="94" t="s">
        <v>40</v>
      </c>
      <c r="E8" s="95" t="s">
        <v>34</v>
      </c>
      <c r="F8" s="96">
        <v>4654000</v>
      </c>
      <c r="G8" s="96">
        <v>911000</v>
      </c>
      <c r="H8" s="96">
        <f>F8+G8</f>
        <v>5565000</v>
      </c>
      <c r="I8" s="96"/>
      <c r="J8" s="96"/>
      <c r="K8" s="96"/>
      <c r="L8" s="96"/>
      <c r="M8" s="96"/>
      <c r="N8" s="96"/>
      <c r="O8" s="96"/>
      <c r="P8" s="96"/>
      <c r="Q8" s="96"/>
      <c r="R8" s="96"/>
      <c r="S8" s="96"/>
      <c r="T8" s="96"/>
      <c r="U8" s="96"/>
      <c r="V8" s="96"/>
      <c r="W8" s="96"/>
      <c r="X8" s="96"/>
      <c r="Y8" s="96"/>
      <c r="Z8" s="96"/>
      <c r="AA8" s="96"/>
      <c r="AB8" s="96"/>
      <c r="AC8" s="96"/>
      <c r="AD8" s="96"/>
      <c r="AE8" s="96"/>
      <c r="AF8" s="96"/>
      <c r="AG8" s="96"/>
      <c r="AH8" s="96"/>
      <c r="AI8" s="96">
        <f>91500.87+617554.17+5195.74+121+484</f>
        <v>714855.78</v>
      </c>
      <c r="AJ8" s="96">
        <f>2197.89+1758.31+9438</f>
        <v>13394.2</v>
      </c>
      <c r="AK8" s="96"/>
      <c r="AL8" s="96"/>
      <c r="AM8" s="96"/>
      <c r="AN8" s="96"/>
      <c r="AO8" s="96">
        <f>883833.55+2006.65+484+302408.02</f>
        <v>1188732.2200000002</v>
      </c>
      <c r="AP8" s="96">
        <f>5099.11+9922.03</f>
        <v>15021.14</v>
      </c>
      <c r="AQ8" s="96">
        <v>105043.21</v>
      </c>
      <c r="AR8" s="96">
        <v>4134.18</v>
      </c>
      <c r="AS8" s="96">
        <v>396167.7</v>
      </c>
      <c r="AT8" s="96">
        <v>6611.22</v>
      </c>
      <c r="AU8" s="96">
        <f>738.1+376022.95</f>
        <v>376761.05</v>
      </c>
      <c r="AV8" s="96">
        <v>12344.63</v>
      </c>
      <c r="AW8" s="96">
        <f>478249.1+605</f>
        <v>478854.1</v>
      </c>
      <c r="AX8" s="96">
        <f>2637.46+37075</f>
        <v>39712.46</v>
      </c>
      <c r="AY8" s="96"/>
      <c r="AZ8" s="96"/>
      <c r="BA8" s="96">
        <v>1559.33</v>
      </c>
      <c r="BB8" s="96"/>
      <c r="BC8" s="96">
        <f>121+195715.06</f>
        <v>195836.06</v>
      </c>
      <c r="BD8" s="96">
        <v>61892.5</v>
      </c>
      <c r="BE8" s="96"/>
      <c r="BF8" s="96"/>
      <c r="BG8" s="96"/>
      <c r="BH8" s="96"/>
      <c r="BI8" s="96"/>
      <c r="BJ8" s="96"/>
      <c r="BK8" s="96"/>
      <c r="BL8" s="96"/>
      <c r="BM8" s="96">
        <f t="shared" si="1"/>
        <v>3457809.45</v>
      </c>
      <c r="BN8" s="96">
        <f t="shared" si="1"/>
        <v>153110.33000000002</v>
      </c>
      <c r="BO8" s="97">
        <f t="shared" si="0"/>
        <v>1196190.5499999998</v>
      </c>
      <c r="BP8" s="98">
        <f t="shared" si="0"/>
        <v>757889.66999999993</v>
      </c>
    </row>
    <row r="9" spans="2:68" ht="19.5" customHeight="1" thickTop="1" thickBot="1" x14ac:dyDescent="0.3">
      <c r="B9" s="55"/>
      <c r="C9" s="56"/>
      <c r="D9" s="56"/>
      <c r="E9" s="56"/>
      <c r="F9" s="57">
        <f>SUM(F5)</f>
        <v>19631712.800000001</v>
      </c>
      <c r="G9" s="57">
        <f>SUM(G5)</f>
        <v>18116279.149999999</v>
      </c>
      <c r="H9" s="57">
        <f>SUM(H5)</f>
        <v>37747991.950000003</v>
      </c>
      <c r="I9" s="119">
        <f>SUM(I5:J5)</f>
        <v>151954.97</v>
      </c>
      <c r="J9" s="120"/>
      <c r="K9" s="119">
        <f>SUM(K5:L5)</f>
        <v>4316631.46</v>
      </c>
      <c r="L9" s="120"/>
      <c r="M9" s="119">
        <f>SUM(M5:N5)</f>
        <v>22538.68</v>
      </c>
      <c r="N9" s="120"/>
      <c r="O9" s="119">
        <f>SUM(O5:P5)</f>
        <v>5414744.3799999999</v>
      </c>
      <c r="P9" s="120"/>
      <c r="Q9" s="119">
        <f>SUM(Q5:R5)</f>
        <v>7185068.1100000003</v>
      </c>
      <c r="R9" s="120"/>
      <c r="S9" s="119">
        <f>SUM(S5:T5)</f>
        <v>4226410.21</v>
      </c>
      <c r="T9" s="120"/>
      <c r="U9" s="119">
        <f>SUM(U5:V5)</f>
        <v>2837443.7300000004</v>
      </c>
      <c r="V9" s="120"/>
      <c r="W9" s="119">
        <f>SUM(W5:X5)</f>
        <v>2430090.17</v>
      </c>
      <c r="X9" s="120"/>
      <c r="Y9" s="119">
        <f>SUM(Y5:Z5)</f>
        <v>10084.14</v>
      </c>
      <c r="Z9" s="120"/>
      <c r="AA9" s="119">
        <f>SUM(AA5:AB5)</f>
        <v>1931960.1500000001</v>
      </c>
      <c r="AB9" s="120"/>
      <c r="AC9" s="119">
        <f>SUM(AC5:AD5)</f>
        <v>42350</v>
      </c>
      <c r="AD9" s="120"/>
      <c r="AE9" s="119">
        <f>SUM(AE5:AF5)</f>
        <v>61710</v>
      </c>
      <c r="AF9" s="120"/>
      <c r="AG9" s="119">
        <f>SUM(AG4:AH8)</f>
        <v>90362.78</v>
      </c>
      <c r="AH9" s="120"/>
      <c r="AI9" s="119">
        <f>SUM(AI4:AJ8)</f>
        <v>737864.64</v>
      </c>
      <c r="AJ9" s="120"/>
      <c r="AK9" s="119">
        <f>SUM(AK4:AL8)</f>
        <v>544790.4</v>
      </c>
      <c r="AL9" s="120"/>
      <c r="AM9" s="119">
        <f>SUM(AM4:AN8)</f>
        <v>3120941.85</v>
      </c>
      <c r="AN9" s="120"/>
      <c r="AO9" s="119">
        <f>SUM(AO4:AP8)</f>
        <v>7061552.7999999998</v>
      </c>
      <c r="AP9" s="120"/>
      <c r="AQ9" s="119">
        <f>SUM(AQ4:AR8)</f>
        <v>109177.39000000001</v>
      </c>
      <c r="AR9" s="120"/>
      <c r="AS9" s="119">
        <f>SUM(AS4:AT8)</f>
        <v>403867.92</v>
      </c>
      <c r="AT9" s="120"/>
      <c r="AU9" s="119">
        <f>SUM(AU4:AV8)</f>
        <v>14304151.590000002</v>
      </c>
      <c r="AV9" s="120"/>
      <c r="AW9" s="119">
        <f>SUM(AW4:AX8)</f>
        <v>11592780.950000001</v>
      </c>
      <c r="AX9" s="120"/>
      <c r="AY9" s="119">
        <f>SUM(AY4:AZ8)</f>
        <v>44987.8</v>
      </c>
      <c r="AZ9" s="120"/>
      <c r="BA9" s="119">
        <f>SUM(BA4:BB8)</f>
        <v>4762286.6499999994</v>
      </c>
      <c r="BB9" s="120"/>
      <c r="BC9" s="119">
        <f>SUM(BC4:BD8)</f>
        <v>9297122.3499999996</v>
      </c>
      <c r="BD9" s="120"/>
      <c r="BE9" s="119">
        <f>SUM(BE4:BF8)</f>
        <v>8558133.2599999998</v>
      </c>
      <c r="BF9" s="120"/>
      <c r="BG9" s="119">
        <f>SUM(BG4:BH8)</f>
        <v>53674.1</v>
      </c>
      <c r="BH9" s="120"/>
      <c r="BI9" s="119">
        <f>SUM(BI4:BJ8)</f>
        <v>1569781.1700000002</v>
      </c>
      <c r="BJ9" s="120"/>
      <c r="BK9" s="119">
        <f>SUM(BK4:BL8)</f>
        <v>532.4</v>
      </c>
      <c r="BL9" s="120"/>
      <c r="BM9" s="119">
        <f>SUM(BM5:BN5)</f>
        <v>28630986</v>
      </c>
      <c r="BN9" s="135"/>
      <c r="BO9" s="119">
        <f>SUM(BO5:BP5)</f>
        <v>9117005.9499999993</v>
      </c>
      <c r="BP9" s="133"/>
    </row>
    <row r="10" spans="2:68" ht="15.75" thickTop="1" x14ac:dyDescent="0.25">
      <c r="F10" s="72"/>
      <c r="G10" s="72"/>
      <c r="BP10" s="72"/>
    </row>
    <row r="11" spans="2:68" ht="15.75" x14ac:dyDescent="0.25">
      <c r="BD11" s="103">
        <v>1639880.37</v>
      </c>
      <c r="BN11" s="62"/>
    </row>
    <row r="12" spans="2:68" ht="15.75" x14ac:dyDescent="0.25">
      <c r="AM12" s="103">
        <v>405666.07</v>
      </c>
      <c r="AN12" s="103">
        <v>2435310.31</v>
      </c>
      <c r="BD12" s="104">
        <f>BD4-BD11</f>
        <v>1.9999999785795808E-2</v>
      </c>
    </row>
  </sheetData>
  <mergeCells count="66">
    <mergeCell ref="AY2:AZ2"/>
    <mergeCell ref="AY9:AZ9"/>
    <mergeCell ref="BG2:BH2"/>
    <mergeCell ref="BG9:BH9"/>
    <mergeCell ref="BE2:BF2"/>
    <mergeCell ref="BE9:BF9"/>
    <mergeCell ref="BC2:BD2"/>
    <mergeCell ref="BC9:BD9"/>
    <mergeCell ref="BA2:BB2"/>
    <mergeCell ref="BA9:BB9"/>
    <mergeCell ref="BO2:BP2"/>
    <mergeCell ref="BO9:BP9"/>
    <mergeCell ref="BM2:BN2"/>
    <mergeCell ref="BI2:BJ2"/>
    <mergeCell ref="BK2:BL2"/>
    <mergeCell ref="BI9:BJ9"/>
    <mergeCell ref="BK9:BL9"/>
    <mergeCell ref="BM9:BN9"/>
    <mergeCell ref="AQ2:AR2"/>
    <mergeCell ref="AQ9:AR9"/>
    <mergeCell ref="D2:D3"/>
    <mergeCell ref="AK2:AL2"/>
    <mergeCell ref="AK9:AL9"/>
    <mergeCell ref="Y2:Z2"/>
    <mergeCell ref="Y9:Z9"/>
    <mergeCell ref="U2:V2"/>
    <mergeCell ref="U9:V9"/>
    <mergeCell ref="W2:X2"/>
    <mergeCell ref="W9:X9"/>
    <mergeCell ref="AI9:AJ9"/>
    <mergeCell ref="AE9:AF9"/>
    <mergeCell ref="AI2:AJ2"/>
    <mergeCell ref="S9:T9"/>
    <mergeCell ref="AO2:AP2"/>
    <mergeCell ref="AW9:AX9"/>
    <mergeCell ref="AU2:AV2"/>
    <mergeCell ref="AU9:AV9"/>
    <mergeCell ref="AS2:AT2"/>
    <mergeCell ref="AS9:AT9"/>
    <mergeCell ref="AW2:AX2"/>
    <mergeCell ref="B1:F1"/>
    <mergeCell ref="C2:C3"/>
    <mergeCell ref="E2:E3"/>
    <mergeCell ref="B2:B3"/>
    <mergeCell ref="S2:T2"/>
    <mergeCell ref="F2:H2"/>
    <mergeCell ref="Q2:R2"/>
    <mergeCell ref="O2:P2"/>
    <mergeCell ref="M2:N2"/>
    <mergeCell ref="K2:L2"/>
    <mergeCell ref="I2:J2"/>
    <mergeCell ref="AO9:AP9"/>
    <mergeCell ref="AM2:AN2"/>
    <mergeCell ref="AM9:AN9"/>
    <mergeCell ref="AG2:AH2"/>
    <mergeCell ref="AG9:AH9"/>
    <mergeCell ref="AE2:AF2"/>
    <mergeCell ref="AC2:AD2"/>
    <mergeCell ref="AC9:AD9"/>
    <mergeCell ref="AA2:AB2"/>
    <mergeCell ref="AA9:AB9"/>
    <mergeCell ref="I9:J9"/>
    <mergeCell ref="K9:L9"/>
    <mergeCell ref="M9:N9"/>
    <mergeCell ref="O9:P9"/>
    <mergeCell ref="Q9:R9"/>
  </mergeCells>
  <pageMargins left="0.70866141732283472" right="0.70866141732283472" top="0.39370078740157483" bottom="0.19685039370078741" header="0.31496062992125984" footer="0.31496062992125984"/>
  <pageSetup paperSize="9" scale="61" firstPageNumber="4" fitToHeight="0" orientation="landscape" useFirstPageNumber="1" r:id="rId1"/>
  <headerFooter>
    <oddFooter>&amp;L&amp;"-,Kurzíva"Zastupitelstvo Olomouckého kraje 17. 2. 2020
5.4. - Rozpočet Olomouckého kraje 2019 - čerpání úvěru KB
Příloha č. 2 - přehled čerpání úvěru&amp;R&amp;"-,Kurzíva"Strana &amp;P (celkem 4)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M27"/>
  <sheetViews>
    <sheetView zoomScale="90" zoomScaleNormal="90" workbookViewId="0">
      <selection sqref="A1:G1"/>
    </sheetView>
  </sheetViews>
  <sheetFormatPr defaultRowHeight="15" x14ac:dyDescent="0.2"/>
  <cols>
    <col min="1" max="1" width="11.42578125" style="6" customWidth="1"/>
    <col min="2" max="2" width="6.7109375" style="6" customWidth="1"/>
    <col min="3" max="3" width="9.28515625" style="6" customWidth="1"/>
    <col min="4" max="4" width="9.7109375" style="6" customWidth="1"/>
    <col min="5" max="5" width="37.85546875" style="39" customWidth="1"/>
    <col min="6" max="6" width="16.85546875" style="6" customWidth="1"/>
    <col min="7" max="7" width="15" style="6" customWidth="1"/>
    <col min="8" max="8" width="19.5703125" style="6" customWidth="1"/>
    <col min="9" max="10" width="15.7109375" style="6" customWidth="1"/>
    <col min="11" max="11" width="16.42578125" style="6" customWidth="1"/>
    <col min="12" max="12" width="12.7109375" style="6" bestFit="1" customWidth="1"/>
    <col min="13" max="13" width="14.140625" style="6" customWidth="1"/>
    <col min="14" max="16384" width="9.140625" style="6"/>
  </cols>
  <sheetData>
    <row r="1" spans="1:13" s="4" customFormat="1" ht="15.75" x14ac:dyDescent="0.25">
      <c r="A1" s="153" t="s">
        <v>25</v>
      </c>
      <c r="B1" s="153"/>
      <c r="C1" s="153"/>
      <c r="D1" s="153"/>
      <c r="E1" s="153"/>
      <c r="F1" s="153"/>
      <c r="G1" s="153"/>
      <c r="H1" s="2"/>
      <c r="I1" s="2"/>
      <c r="J1" s="2"/>
      <c r="K1" s="3"/>
    </row>
    <row r="2" spans="1:13" s="4" customFormat="1" ht="15.75" customHeight="1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3"/>
    </row>
    <row r="3" spans="1:13" ht="16.5" thickBot="1" x14ac:dyDescent="0.3">
      <c r="A3" s="2"/>
      <c r="B3" s="2"/>
      <c r="C3" s="2"/>
      <c r="D3" s="2"/>
      <c r="E3" s="2"/>
      <c r="F3" s="2"/>
      <c r="G3" s="2"/>
      <c r="H3" s="2"/>
      <c r="I3" s="2"/>
      <c r="J3" s="2"/>
      <c r="K3" s="5"/>
      <c r="M3" s="3" t="s">
        <v>11</v>
      </c>
    </row>
    <row r="4" spans="1:13" ht="32.25" customHeight="1" x14ac:dyDescent="0.2">
      <c r="A4" s="136" t="s">
        <v>0</v>
      </c>
      <c r="B4" s="138" t="s">
        <v>5</v>
      </c>
      <c r="C4" s="138" t="s">
        <v>6</v>
      </c>
      <c r="D4" s="140" t="s">
        <v>10</v>
      </c>
      <c r="E4" s="140" t="s">
        <v>1</v>
      </c>
      <c r="F4" s="148" t="s">
        <v>4</v>
      </c>
      <c r="G4" s="140" t="s">
        <v>7</v>
      </c>
      <c r="H4" s="144" t="s">
        <v>3</v>
      </c>
      <c r="I4" s="140" t="s">
        <v>9</v>
      </c>
      <c r="J4" s="140" t="s">
        <v>12</v>
      </c>
      <c r="K4" s="140" t="s">
        <v>8</v>
      </c>
      <c r="L4" s="146" t="s">
        <v>13</v>
      </c>
      <c r="M4" s="142" t="s">
        <v>14</v>
      </c>
    </row>
    <row r="5" spans="1:13" ht="39" customHeight="1" thickBot="1" x14ac:dyDescent="0.25">
      <c r="A5" s="137"/>
      <c r="B5" s="139"/>
      <c r="C5" s="139"/>
      <c r="D5" s="141"/>
      <c r="E5" s="141"/>
      <c r="F5" s="149"/>
      <c r="G5" s="141"/>
      <c r="H5" s="145"/>
      <c r="I5" s="141"/>
      <c r="J5" s="141"/>
      <c r="K5" s="141"/>
      <c r="L5" s="147"/>
      <c r="M5" s="143"/>
    </row>
    <row r="6" spans="1:13" ht="30" x14ac:dyDescent="0.2">
      <c r="A6" s="7">
        <v>100916</v>
      </c>
      <c r="B6" s="8">
        <v>50</v>
      </c>
      <c r="C6" s="8">
        <v>2212</v>
      </c>
      <c r="D6" s="8">
        <v>61</v>
      </c>
      <c r="E6" s="9" t="s">
        <v>15</v>
      </c>
      <c r="F6" s="10">
        <v>60163</v>
      </c>
      <c r="G6" s="10">
        <v>55924</v>
      </c>
      <c r="H6" s="11">
        <v>27962</v>
      </c>
      <c r="I6" s="11">
        <v>4239</v>
      </c>
      <c r="J6" s="12">
        <f>(I6/F6)</f>
        <v>7.0458587503947609E-2</v>
      </c>
      <c r="K6" s="13">
        <f>H6+I6</f>
        <v>32201</v>
      </c>
      <c r="L6" s="14">
        <v>2299</v>
      </c>
      <c r="M6" s="15">
        <f>I6-L6</f>
        <v>1940</v>
      </c>
    </row>
    <row r="7" spans="1:13" ht="35.25" customHeight="1" x14ac:dyDescent="0.2">
      <c r="A7" s="16">
        <v>100932</v>
      </c>
      <c r="B7" s="17">
        <v>50</v>
      </c>
      <c r="C7" s="18">
        <v>3122</v>
      </c>
      <c r="D7" s="18">
        <v>61</v>
      </c>
      <c r="E7" s="19" t="s">
        <v>16</v>
      </c>
      <c r="F7" s="20">
        <v>6191</v>
      </c>
      <c r="G7" s="20">
        <v>5341</v>
      </c>
      <c r="H7" s="21">
        <v>1602</v>
      </c>
      <c r="I7" s="21">
        <f>281+569</f>
        <v>850</v>
      </c>
      <c r="J7" s="12">
        <f>(I7/F7)</f>
        <v>0.13729607494750445</v>
      </c>
      <c r="K7" s="22">
        <f>H7+I7</f>
        <v>2452</v>
      </c>
      <c r="L7" s="23">
        <f>69+781</f>
        <v>850</v>
      </c>
      <c r="M7" s="24">
        <f>I7-L7</f>
        <v>0</v>
      </c>
    </row>
    <row r="8" spans="1:13" ht="30" x14ac:dyDescent="0.2">
      <c r="A8" s="16">
        <v>100934</v>
      </c>
      <c r="B8" s="17">
        <v>50</v>
      </c>
      <c r="C8" s="18">
        <v>3122</v>
      </c>
      <c r="D8" s="18">
        <v>61</v>
      </c>
      <c r="E8" s="19" t="s">
        <v>17</v>
      </c>
      <c r="F8" s="20">
        <v>22588</v>
      </c>
      <c r="G8" s="20">
        <v>19620</v>
      </c>
      <c r="H8" s="21">
        <v>5886</v>
      </c>
      <c r="I8" s="21">
        <f>1033+1935</f>
        <v>2968</v>
      </c>
      <c r="J8" s="12">
        <f>(I8/F8)</f>
        <v>0.13139720205418806</v>
      </c>
      <c r="K8" s="22">
        <f>H8+I8</f>
        <v>8854</v>
      </c>
      <c r="L8" s="23">
        <f>156+2812</f>
        <v>2968</v>
      </c>
      <c r="M8" s="24">
        <f>I8-L8</f>
        <v>0</v>
      </c>
    </row>
    <row r="9" spans="1:13" ht="30" x14ac:dyDescent="0.2">
      <c r="A9" s="16">
        <v>100965</v>
      </c>
      <c r="B9" s="17">
        <v>50</v>
      </c>
      <c r="C9" s="18">
        <v>3122</v>
      </c>
      <c r="D9" s="18">
        <v>61</v>
      </c>
      <c r="E9" s="19" t="s">
        <v>18</v>
      </c>
      <c r="F9" s="20">
        <v>12328</v>
      </c>
      <c r="G9" s="20">
        <v>11105</v>
      </c>
      <c r="H9" s="25">
        <v>3332</v>
      </c>
      <c r="I9" s="21">
        <f>584+638</f>
        <v>1222</v>
      </c>
      <c r="J9" s="12">
        <f>(I9/F9)</f>
        <v>9.9123945489941592E-2</v>
      </c>
      <c r="K9" s="22">
        <f>H9+I9</f>
        <v>4554</v>
      </c>
      <c r="L9" s="23">
        <f>61+1161</f>
        <v>1222</v>
      </c>
      <c r="M9" s="24">
        <f>I9-L9</f>
        <v>0</v>
      </c>
    </row>
    <row r="10" spans="1:13" ht="48.75" customHeight="1" thickBot="1" x14ac:dyDescent="0.25">
      <c r="A10" s="26">
        <v>100883</v>
      </c>
      <c r="B10" s="27">
        <v>52</v>
      </c>
      <c r="C10" s="27">
        <v>3121</v>
      </c>
      <c r="D10" s="27">
        <v>61</v>
      </c>
      <c r="E10" s="28" t="s">
        <v>19</v>
      </c>
      <c r="F10" s="29">
        <v>40427</v>
      </c>
      <c r="G10" s="29">
        <v>16830</v>
      </c>
      <c r="H10" s="30">
        <v>0</v>
      </c>
      <c r="I10" s="30">
        <v>23597</v>
      </c>
      <c r="J10" s="31">
        <f>(I10/F10)</f>
        <v>0.58369406584708239</v>
      </c>
      <c r="K10" s="32">
        <f>H10+I10</f>
        <v>23597</v>
      </c>
      <c r="L10" s="33">
        <v>2000</v>
      </c>
      <c r="M10" s="34">
        <f>I10-L10</f>
        <v>21597</v>
      </c>
    </row>
    <row r="11" spans="1:13" s="38" customFormat="1" ht="18.75" thickBot="1" x14ac:dyDescent="0.3">
      <c r="A11" s="150" t="s">
        <v>2</v>
      </c>
      <c r="B11" s="151"/>
      <c r="C11" s="151"/>
      <c r="D11" s="151"/>
      <c r="E11" s="151"/>
      <c r="F11" s="35">
        <f>SUM(F6:F10)</f>
        <v>141697</v>
      </c>
      <c r="G11" s="35">
        <f>SUM(G6:G10)</f>
        <v>108820</v>
      </c>
      <c r="H11" s="52">
        <f>SUM(H6:H10)</f>
        <v>38782</v>
      </c>
      <c r="I11" s="35">
        <f>SUM(I6:I10)</f>
        <v>32876</v>
      </c>
      <c r="J11" s="36"/>
      <c r="K11" s="35">
        <f>SUM(K6:K10)</f>
        <v>71658</v>
      </c>
      <c r="L11" s="36">
        <f>SUM(L6:L10)</f>
        <v>9339</v>
      </c>
      <c r="M11" s="37">
        <f>SUM(M6:M10)</f>
        <v>23537</v>
      </c>
    </row>
    <row r="12" spans="1:13" ht="15.75" thickBot="1" x14ac:dyDescent="0.25"/>
    <row r="13" spans="1:13" ht="15.75" customHeight="1" x14ac:dyDescent="0.2">
      <c r="A13" s="136" t="s">
        <v>0</v>
      </c>
      <c r="B13" s="138" t="s">
        <v>5</v>
      </c>
      <c r="C13" s="138" t="s">
        <v>6</v>
      </c>
      <c r="D13" s="140" t="s">
        <v>10</v>
      </c>
      <c r="E13" s="140" t="s">
        <v>1</v>
      </c>
      <c r="F13" s="148" t="s">
        <v>4</v>
      </c>
      <c r="G13" s="140" t="s">
        <v>7</v>
      </c>
      <c r="H13" s="144" t="s">
        <v>3</v>
      </c>
      <c r="I13" s="140" t="s">
        <v>9</v>
      </c>
      <c r="J13" s="140" t="s">
        <v>12</v>
      </c>
      <c r="K13" s="140" t="s">
        <v>8</v>
      </c>
      <c r="L13" s="146" t="s">
        <v>13</v>
      </c>
      <c r="M13" s="142" t="s">
        <v>14</v>
      </c>
    </row>
    <row r="14" spans="1:13" ht="39" customHeight="1" thickBot="1" x14ac:dyDescent="0.25">
      <c r="A14" s="137"/>
      <c r="B14" s="139"/>
      <c r="C14" s="139"/>
      <c r="D14" s="141"/>
      <c r="E14" s="141"/>
      <c r="F14" s="149"/>
      <c r="G14" s="141"/>
      <c r="H14" s="145"/>
      <c r="I14" s="141"/>
      <c r="J14" s="141"/>
      <c r="K14" s="141"/>
      <c r="L14" s="147"/>
      <c r="M14" s="143"/>
    </row>
    <row r="15" spans="1:13" ht="30" x14ac:dyDescent="0.2">
      <c r="A15" s="40" t="s">
        <v>20</v>
      </c>
      <c r="B15" s="17">
        <v>50</v>
      </c>
      <c r="C15" s="17">
        <v>2212</v>
      </c>
      <c r="D15" s="17">
        <v>61</v>
      </c>
      <c r="E15" s="41" t="s">
        <v>21</v>
      </c>
      <c r="F15" s="20">
        <v>33567</v>
      </c>
      <c r="G15" s="20">
        <v>31889</v>
      </c>
      <c r="H15" s="21">
        <v>11567</v>
      </c>
      <c r="I15" s="21">
        <v>1678</v>
      </c>
      <c r="J15" s="12">
        <f>(I15/F15)</f>
        <v>4.9989573092620726E-2</v>
      </c>
      <c r="K15" s="22">
        <f>H15+I15</f>
        <v>13245</v>
      </c>
      <c r="L15" s="42">
        <v>0</v>
      </c>
      <c r="M15" s="24">
        <f>I15-L15</f>
        <v>1678</v>
      </c>
    </row>
    <row r="16" spans="1:13" ht="45" x14ac:dyDescent="0.2">
      <c r="A16" s="40" t="s">
        <v>20</v>
      </c>
      <c r="B16" s="17">
        <v>50</v>
      </c>
      <c r="C16" s="17">
        <v>2212</v>
      </c>
      <c r="D16" s="17">
        <v>61</v>
      </c>
      <c r="E16" s="41" t="s">
        <v>22</v>
      </c>
      <c r="F16" s="20">
        <v>60281</v>
      </c>
      <c r="G16" s="20">
        <v>57267</v>
      </c>
      <c r="H16" s="21">
        <v>17281</v>
      </c>
      <c r="I16" s="21">
        <v>3014</v>
      </c>
      <c r="J16" s="12">
        <f>(I16/F16)</f>
        <v>4.9999170551251637E-2</v>
      </c>
      <c r="K16" s="22">
        <f>H16+I16</f>
        <v>20295</v>
      </c>
      <c r="L16" s="23">
        <v>0</v>
      </c>
      <c r="M16" s="24">
        <f>I16-L16</f>
        <v>3014</v>
      </c>
    </row>
    <row r="17" spans="1:13" ht="30" x14ac:dyDescent="0.2">
      <c r="A17" s="40" t="s">
        <v>20</v>
      </c>
      <c r="B17" s="17">
        <v>50</v>
      </c>
      <c r="C17" s="18">
        <v>3122</v>
      </c>
      <c r="D17" s="18">
        <v>61</v>
      </c>
      <c r="E17" s="19" t="s">
        <v>23</v>
      </c>
      <c r="F17" s="20">
        <v>9705</v>
      </c>
      <c r="G17" s="20">
        <v>9220</v>
      </c>
      <c r="H17" s="21">
        <v>2205</v>
      </c>
      <c r="I17" s="21">
        <v>485</v>
      </c>
      <c r="J17" s="12">
        <f>(I17/F17)</f>
        <v>4.9974240082431738E-2</v>
      </c>
      <c r="K17" s="22">
        <f>H17+I17</f>
        <v>2690</v>
      </c>
      <c r="L17" s="23">
        <v>0</v>
      </c>
      <c r="M17" s="24">
        <f>I17-L17</f>
        <v>485</v>
      </c>
    </row>
    <row r="18" spans="1:13" ht="16.5" thickBot="1" x14ac:dyDescent="0.25">
      <c r="A18" s="43" t="s">
        <v>20</v>
      </c>
      <c r="B18" s="44">
        <v>50</v>
      </c>
      <c r="C18" s="45">
        <v>3113</v>
      </c>
      <c r="D18" s="45">
        <v>61</v>
      </c>
      <c r="E18" s="46" t="s">
        <v>24</v>
      </c>
      <c r="F18" s="47">
        <v>21812</v>
      </c>
      <c r="G18" s="47">
        <v>20703</v>
      </c>
      <c r="H18" s="48">
        <v>7562</v>
      </c>
      <c r="I18" s="48">
        <v>1109</v>
      </c>
      <c r="J18" s="31">
        <f>(I18/F18)</f>
        <v>5.0843572345497891E-2</v>
      </c>
      <c r="K18" s="49">
        <f>H18+I18</f>
        <v>8671</v>
      </c>
      <c r="L18" s="33">
        <v>0</v>
      </c>
      <c r="M18" s="34">
        <f>I18-L18</f>
        <v>1109</v>
      </c>
    </row>
    <row r="19" spans="1:13" ht="18.75" thickBot="1" x14ac:dyDescent="0.25">
      <c r="A19" s="150" t="s">
        <v>26</v>
      </c>
      <c r="B19" s="151"/>
      <c r="C19" s="151"/>
      <c r="D19" s="151"/>
      <c r="E19" s="151"/>
      <c r="F19" s="36">
        <f>SUM(F15:F18)</f>
        <v>125365</v>
      </c>
      <c r="G19" s="36">
        <f t="shared" ref="G19:I19" si="0">SUM(G15:G18)</f>
        <v>119079</v>
      </c>
      <c r="H19" s="53">
        <f>SUM(H15:H18)</f>
        <v>38615</v>
      </c>
      <c r="I19" s="36">
        <f t="shared" si="0"/>
        <v>6286</v>
      </c>
      <c r="J19" s="36"/>
      <c r="K19" s="36">
        <f t="shared" ref="K19:M19" si="1">SUM(K15:K18)</f>
        <v>44901</v>
      </c>
      <c r="L19" s="36">
        <f t="shared" si="1"/>
        <v>0</v>
      </c>
      <c r="M19" s="37">
        <f t="shared" si="1"/>
        <v>6286</v>
      </c>
    </row>
    <row r="20" spans="1:13" ht="15.75" thickBot="1" x14ac:dyDescent="0.25"/>
    <row r="21" spans="1:13" ht="18.75" thickBot="1" x14ac:dyDescent="0.25">
      <c r="A21" s="150" t="s">
        <v>2</v>
      </c>
      <c r="B21" s="151"/>
      <c r="C21" s="151"/>
      <c r="D21" s="151"/>
      <c r="E21" s="151"/>
      <c r="F21" s="36">
        <f>F11+F19</f>
        <v>267062</v>
      </c>
      <c r="G21" s="36">
        <f t="shared" ref="G21:M21" si="2">G11+G19</f>
        <v>227899</v>
      </c>
      <c r="H21" s="53">
        <f t="shared" si="2"/>
        <v>77397</v>
      </c>
      <c r="I21" s="36">
        <f t="shared" si="2"/>
        <v>39162</v>
      </c>
      <c r="J21" s="36"/>
      <c r="K21" s="36">
        <f t="shared" si="2"/>
        <v>116559</v>
      </c>
      <c r="L21" s="36">
        <f t="shared" si="2"/>
        <v>9339</v>
      </c>
      <c r="M21" s="37">
        <f t="shared" si="2"/>
        <v>29823</v>
      </c>
    </row>
    <row r="22" spans="1:13" ht="18" x14ac:dyDescent="0.25">
      <c r="K22" s="152"/>
      <c r="L22" s="152"/>
      <c r="M22" s="50"/>
    </row>
    <row r="25" spans="1:13" ht="15.75" x14ac:dyDescent="0.25">
      <c r="G25" s="51"/>
    </row>
    <row r="27" spans="1:13" ht="15.75" x14ac:dyDescent="0.25">
      <c r="G27" s="51"/>
    </row>
  </sheetData>
  <mergeCells count="31">
    <mergeCell ref="A19:E19"/>
    <mergeCell ref="A21:E21"/>
    <mergeCell ref="K22:L22"/>
    <mergeCell ref="A1:G1"/>
    <mergeCell ref="H13:H14"/>
    <mergeCell ref="I13:I14"/>
    <mergeCell ref="J13:J14"/>
    <mergeCell ref="K13:K14"/>
    <mergeCell ref="L13:L14"/>
    <mergeCell ref="F13:F14"/>
    <mergeCell ref="G13:G14"/>
    <mergeCell ref="A11:E11"/>
    <mergeCell ref="A13:A14"/>
    <mergeCell ref="B13:B14"/>
    <mergeCell ref="C13:C14"/>
    <mergeCell ref="D13:D14"/>
    <mergeCell ref="E13:E14"/>
    <mergeCell ref="M4:M5"/>
    <mergeCell ref="G4:G5"/>
    <mergeCell ref="H4:H5"/>
    <mergeCell ref="I4:I5"/>
    <mergeCell ref="J4:J5"/>
    <mergeCell ref="K4:K5"/>
    <mergeCell ref="L4:L5"/>
    <mergeCell ref="F4:F5"/>
    <mergeCell ref="M13:M14"/>
    <mergeCell ref="A4:A5"/>
    <mergeCell ref="B4:B5"/>
    <mergeCell ref="C4:C5"/>
    <mergeCell ref="D4:D5"/>
    <mergeCell ref="E4:E5"/>
  </mergeCells>
  <pageMargins left="0.70866141732283472" right="0.70866141732283472" top="0.78740157480314965" bottom="0.78740157480314965" header="0.31496062992125984" footer="0.31496062992125984"/>
  <pageSetup paperSize="9" scale="55" orientation="landscape" r:id="rId1"/>
  <headerFooter>
    <oddFooter>&amp;L&amp;"Arial,Kurzíva"Zastupitelstvo Olomouckého kraje 20-02-2015
6.1. Rozpočet Olomouckého kraje 2015 - investice
Příloha č. 1: Návrh nových investičních akcí 2015&amp;RStrana &amp;P (celkem 22)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2</vt:i4>
      </vt:variant>
    </vt:vector>
  </HeadingPairs>
  <TitlesOfParts>
    <vt:vector size="4" baseType="lpstr">
      <vt:lpstr>Přehled úvěru</vt:lpstr>
      <vt:lpstr>Dotace - aktualizace</vt:lpstr>
      <vt:lpstr>'Přehled úvěru'!Názvy_tisku</vt:lpstr>
      <vt:lpstr>'Přehled úvěru'!Oblast_tisku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Foret Oldřich</dc:creator>
  <cp:lastModifiedBy>Foret Oldřich</cp:lastModifiedBy>
  <cp:lastPrinted>2019-12-03T08:28:29Z</cp:lastPrinted>
  <dcterms:created xsi:type="dcterms:W3CDTF">2013-11-04T07:24:03Z</dcterms:created>
  <dcterms:modified xsi:type="dcterms:W3CDTF">2020-01-28T13:11:41Z</dcterms:modified>
</cp:coreProperties>
</file>