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105" windowWidth="15195" windowHeight="8385"/>
  </bookViews>
  <sheets>
    <sheet name="Očekávané plnění k 31.12.2021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31.12.2021'!$A$1:$D$134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C125" i="1" l="1"/>
  <c r="C137" i="1" l="1"/>
  <c r="C136" i="1"/>
  <c r="B136" i="1"/>
  <c r="C132" i="1"/>
  <c r="C8" i="1" l="1"/>
  <c r="C7" i="1"/>
  <c r="C35" i="1"/>
  <c r="C109" i="1"/>
  <c r="C12" i="1"/>
  <c r="C10" i="1"/>
  <c r="C129" i="1" l="1"/>
  <c r="C9" i="1" l="1"/>
  <c r="C116" i="1" l="1"/>
  <c r="B137" i="1" l="1"/>
  <c r="B138" i="1" l="1"/>
  <c r="F17" i="1" l="1"/>
  <c r="D79" i="1" l="1"/>
  <c r="C74" i="1"/>
  <c r="B74" i="1"/>
  <c r="B73" i="1" s="1"/>
  <c r="C78" i="1"/>
  <c r="D78" i="1" s="1"/>
  <c r="B78" i="1"/>
  <c r="C58" i="1"/>
  <c r="B58" i="1"/>
  <c r="C33" i="1"/>
  <c r="C23" i="1"/>
  <c r="C73" i="1" l="1"/>
  <c r="D74" i="1"/>
  <c r="D130" i="1"/>
  <c r="D129" i="1"/>
  <c r="D125" i="1"/>
  <c r="D114" i="1"/>
  <c r="D112" i="1"/>
  <c r="D108" i="1"/>
  <c r="D107" i="1"/>
  <c r="D105" i="1"/>
  <c r="D103" i="1"/>
  <c r="D102" i="1"/>
  <c r="D100" i="1"/>
  <c r="D97" i="1"/>
  <c r="D95" i="1"/>
  <c r="D93" i="1"/>
  <c r="D92" i="1"/>
  <c r="D85" i="1"/>
  <c r="D83" i="1"/>
  <c r="D77" i="1"/>
  <c r="D75" i="1"/>
  <c r="D73" i="1"/>
  <c r="D68" i="1"/>
  <c r="D65" i="1"/>
  <c r="D63" i="1"/>
  <c r="D57" i="1"/>
  <c r="D56" i="1"/>
  <c r="D50" i="1"/>
  <c r="D48" i="1"/>
  <c r="D47" i="1"/>
  <c r="D43" i="1"/>
  <c r="D41" i="1"/>
  <c r="D39" i="1"/>
  <c r="D37" i="1"/>
  <c r="D34" i="1"/>
  <c r="D33" i="1"/>
  <c r="D31" i="1"/>
  <c r="D30" i="1"/>
  <c r="D28" i="1"/>
  <c r="D27" i="1"/>
  <c r="D25" i="1"/>
  <c r="D21" i="1"/>
  <c r="D19" i="1"/>
  <c r="D12" i="1"/>
  <c r="D10" i="1"/>
  <c r="D9" i="1"/>
  <c r="D8" i="1"/>
  <c r="D7" i="1"/>
  <c r="B132" i="1"/>
  <c r="B11" i="1" l="1"/>
  <c r="D132" i="1" l="1"/>
  <c r="C49" i="1" l="1"/>
  <c r="C11" i="1"/>
  <c r="D11" i="1" s="1"/>
  <c r="B116" i="1"/>
  <c r="B46" i="1"/>
  <c r="D23" i="1"/>
  <c r="C106" i="1" l="1"/>
  <c r="C86" i="1"/>
  <c r="B86" i="1"/>
  <c r="C104" i="1" l="1"/>
  <c r="B104" i="1"/>
  <c r="D104" i="1" s="1"/>
  <c r="C40" i="1"/>
  <c r="B40" i="1"/>
  <c r="D40" i="1" s="1"/>
  <c r="C91" i="1" l="1"/>
  <c r="B91" i="1"/>
  <c r="D91" i="1" s="1"/>
  <c r="C94" i="1"/>
  <c r="B94" i="1"/>
  <c r="D94" i="1" s="1"/>
  <c r="C110" i="1"/>
  <c r="B110" i="1"/>
  <c r="B106" i="1"/>
  <c r="D106" i="1" s="1"/>
  <c r="D110" i="1" l="1"/>
  <c r="B32" i="1"/>
  <c r="C29" i="1"/>
  <c r="B29" i="1"/>
  <c r="D29" i="1" s="1"/>
  <c r="C26" i="1"/>
  <c r="B26" i="1"/>
  <c r="C113" i="1"/>
  <c r="B113" i="1"/>
  <c r="D113" i="1" s="1"/>
  <c r="C101" i="1"/>
  <c r="B101" i="1"/>
  <c r="C99" i="1"/>
  <c r="B99" i="1"/>
  <c r="D99" i="1" s="1"/>
  <c r="C82" i="1"/>
  <c r="B82" i="1"/>
  <c r="C66" i="1"/>
  <c r="B66" i="1"/>
  <c r="D66" i="1" s="1"/>
  <c r="C62" i="1"/>
  <c r="B62" i="1"/>
  <c r="D62" i="1" s="1"/>
  <c r="C55" i="1"/>
  <c r="B55" i="1"/>
  <c r="D55" i="1" s="1"/>
  <c r="C46" i="1"/>
  <c r="D46" i="1" s="1"/>
  <c r="B49" i="1"/>
  <c r="D49" i="1" s="1"/>
  <c r="C52" i="1"/>
  <c r="B52" i="1"/>
  <c r="B36" i="1"/>
  <c r="C22" i="1"/>
  <c r="B22" i="1"/>
  <c r="B18" i="1"/>
  <c r="D101" i="1" l="1"/>
  <c r="B81" i="1"/>
  <c r="D82" i="1"/>
  <c r="D26" i="1"/>
  <c r="D22" i="1"/>
  <c r="B98" i="1"/>
  <c r="C61" i="1"/>
  <c r="C18" i="1"/>
  <c r="D18" i="1" s="1"/>
  <c r="C36" i="1"/>
  <c r="D36" i="1" s="1"/>
  <c r="C45" i="1"/>
  <c r="C54" i="1"/>
  <c r="C81" i="1"/>
  <c r="C98" i="1"/>
  <c r="B61" i="1"/>
  <c r="D61" i="1" s="1"/>
  <c r="B54" i="1"/>
  <c r="D54" i="1" s="1"/>
  <c r="B45" i="1"/>
  <c r="D98" i="1" l="1"/>
  <c r="D81" i="1"/>
  <c r="D45" i="1"/>
  <c r="C89" i="1"/>
  <c r="B89" i="1"/>
  <c r="B115" i="1" s="1"/>
  <c r="D38" i="1" l="1"/>
  <c r="B117" i="1" l="1"/>
  <c r="C13" i="1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D13" i="1" s="1"/>
  <c r="G7" i="8" l="1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  <c r="C32" i="1"/>
  <c r="D116" i="1"/>
  <c r="D32" i="1" l="1"/>
  <c r="C115" i="1"/>
  <c r="D115" i="1" s="1"/>
  <c r="C117" i="1" l="1"/>
  <c r="F117" i="1"/>
  <c r="C138" i="1"/>
  <c r="D117" i="1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<sst xmlns="http://schemas.openxmlformats.org/spreadsheetml/2006/main" count="237" uniqueCount="128">
  <si>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</si>
  <si>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</si>
  <si>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</si>
  <si>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</si>
  <si>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</si>
  <si>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</si>
  <si>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</si>
  <si>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</si>
  <si>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</si>
  <si>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</si>
  <si>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</si>
  <si>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</si>
  <si>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</si>
  <si>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</si>
  <si>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</si>
  <si>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</si>
  <si>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</si>
  <si>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</si>
  <si>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</si>
  <si>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</si>
  <si>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</si>
  <si>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</si>
  <si>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</si>
  <si>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</si>
  <si>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</si>
  <si>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</si>
  <si>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</si>
  <si>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</si>
  <si>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</si>
  <si>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</si>
  <si>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</si>
  <si>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</si>
  <si>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</si>
  <si>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</si>
  <si>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</si>
  <si>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</si>
  <si>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</si>
  <si>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</si>
  <si>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</si>
  <si>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</si>
  <si>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</si>
  <si>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</si>
  <si>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</si>
  <si>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</si>
  <si>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</si>
  <si>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</si>
  <si>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</si>
  <si>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</si>
  <si>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</si>
  <si>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</si>
  <si>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</si>
  <si>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</si>
  <si>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</si>
  <si>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</si>
  <si>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</si>
  <si>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</si>
  <si>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</si>
  <si>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</si>
  <si>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</si>
  <si>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</si>
  <si>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</si>
  <si>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</si>
  <si>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</si>
  <si>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</si>
  <si>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</si>
  <si>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</si>
  <si>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</si>
  <si>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</si>
  <si>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</si>
  <si>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</si>
  <si>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</si>
  <si>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</si>
  <si>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</si>
  <si>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</si>
  <si>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</si>
  <si>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</si>
  <si>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</si>
  <si>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</si>
  <si>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</si>
  <si>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</si>
  <si>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</si>
  <si>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</si>
  <si>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</si>
  <si>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</si>
  <si>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</si>
  <si>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</si>
  <si>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podpory řízení příspěvkových organizací - ORJ 19</t>
  </si>
  <si>
    <t>Odbor kontroly - ORJ 20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</si>
  <si>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</si>
  <si>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</si>
  <si>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</si>
  <si>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</si>
  <si>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</si>
  <si>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</si>
  <si>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</si>
  <si>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</si>
  <si>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</si>
  <si>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</si>
  <si>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</si>
  <si>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</si>
  <si>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</si>
  <si>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</si>
  <si>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</si>
  <si>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</si>
  <si>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</si>
  <si>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</si>
  <si>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</si>
  <si>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</si>
  <si>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</si>
  <si>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</si>
  <si>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</si>
  <si>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</si>
  <si>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</si>
  <si>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</si>
  <si>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</si>
  <si>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</si>
  <si>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</si>
  <si>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</si>
  <si>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</si>
  <si>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</si>
  <si>
    <t>Evropské programy - ORJ 30 - 79</t>
  </si>
  <si>
    <t xml:space="preserve">8118 - Aktivní krátkodobé operace řízení likvidity - výdaje </t>
  </si>
  <si>
    <t>6. Očekávané plnění rozpočtu Olomouckého kraje k 31. 12. 2021</t>
  </si>
  <si>
    <t>Schválený rozpočet                           2021</t>
  </si>
  <si>
    <t>Očekávané plnění                                                k 31. 12. 2021</t>
  </si>
  <si>
    <t xml:space="preserve">Příjmy včetně financování </t>
  </si>
  <si>
    <t xml:space="preserve">Výdaje včetně financování 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</si>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</sst>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20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0" fontId="20" fillId="0" borderId="14" xfId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64" fillId="0" borderId="0" xfId="0" applyFont="1" applyFill="1" applyAlignment="1">
      <alignment wrapText="1"/>
    </xf>
    <xf numFmtId="0" fontId="13" fillId="0" borderId="5" xfId="1" applyFont="1" applyFill="1" applyBorder="1" applyAlignment="1">
      <alignment vertical="top" wrapText="1"/>
    </xf>
    <xf numFmtId="0" fontId="30" fillId="0" borderId="34" xfId="1" applyFont="1" applyFill="1" applyBorder="1" applyAlignment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20" fillId="0" borderId="15" xfId="1" applyNumberFormat="1" applyFont="1" applyFill="1" applyBorder="1"/>
    <xf numFmtId="3" fontId="13" fillId="0" borderId="52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0" fillId="0" borderId="6" xfId="1" applyNumberFormat="1" applyFont="1" applyFill="1" applyBorder="1"/>
    <xf numFmtId="3" fontId="13" fillId="0" borderId="20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0" xfId="0" applyFont="1" applyFill="1" applyBorder="1" applyAlignment="1">
      <alignment horizontal="right"/>
    </xf>
    <xf numFmtId="3" fontId="26" fillId="0" borderId="23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 vertical="top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53" xfId="1" applyNumberFormat="1" applyFont="1" applyFill="1" applyBorder="1"/>
    <xf numFmtId="3" fontId="60" fillId="0" borderId="0" xfId="0" applyFont="1" applyFill="1" applyBorder="1"/>
    <xf numFmtId="164" fontId="60" fillId="0" borderId="0" xfId="0" applyNumberFormat="1" applyFont="1" applyFill="1" applyBorder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38"/>
  <sheetViews>
    <sheetView showGridLines="0" tabSelected="1" view="pageBreakPreview" zoomScaleNormal="100" zoomScaleSheetLayoutView="100" workbookViewId="0">
      <selection activeCell="E121" sqref="E121"/>
    </sheetView>
  </sheetViews>
  <sheetFormatPr defaultColWidth="9.140625" defaultRowHeight="12.75" x14ac:dyDescent="0.2"/>
  <cols>
    <col min="1" max="1" width="81.42578125" style="1" customWidth="1"/>
    <col min="2" max="2" width="18.28515625" style="1" customWidth="1"/>
    <col min="3" max="3" width="17.5703125" style="163" customWidth="1"/>
    <col min="4" max="4" width="11.28515625" style="1" customWidth="1"/>
    <col min="5" max="5" width="10.85546875" style="1" customWidth="1"/>
    <col min="6" max="6" width="11.85546875" style="1" bestFit="1" customWidth="1"/>
    <col min="7" max="16384" width="9.140625" style="1"/>
  </cols>
  <sheetData>
    <row r="1" spans="1:12" ht="20.25" x14ac:dyDescent="0.3">
      <c r="A1" s="310" t="s">
        <v>122</v>
      </c>
      <c r="B1" s="310"/>
      <c r="C1" s="310"/>
      <c r="D1" s="310"/>
    </row>
    <row r="4" spans="1:12" ht="24.75" customHeight="1" thickBot="1" x14ac:dyDescent="0.3">
      <c r="A4" s="273" t="s">
        <v>91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63" t="s">
        <v>1</v>
      </c>
      <c r="B5" s="262" t="s">
        <v>123</v>
      </c>
      <c r="C5" s="262" t="s">
        <v>124</v>
      </c>
      <c r="D5" s="256" t="s">
        <v>5</v>
      </c>
    </row>
    <row r="6" spans="1:12" s="4" customFormat="1" thickTop="1" thickBot="1" x14ac:dyDescent="0.25">
      <c r="A6" s="269">
        <v>1</v>
      </c>
      <c r="B6" s="255">
        <v>2</v>
      </c>
      <c r="C6" s="255">
        <v>3</v>
      </c>
      <c r="D6" s="257" t="s">
        <v>90</v>
      </c>
    </row>
    <row r="7" spans="1:12" ht="18.95" customHeight="1" thickTop="1" x14ac:dyDescent="0.2">
      <c r="A7" s="264" t="s">
        <v>94</v>
      </c>
      <c r="B7" s="227">
        <v>4997689</v>
      </c>
      <c r="C7" s="218">
        <f>4729493+700000</f>
        <v>5429493</v>
      </c>
      <c r="D7" s="74">
        <f t="shared" ref="D7:D13" si="0">(C7/B7)*100</f>
        <v>108.64007344194486</v>
      </c>
    </row>
    <row r="8" spans="1:12" ht="18.95" customHeight="1" x14ac:dyDescent="0.2">
      <c r="A8" s="270" t="s">
        <v>95</v>
      </c>
      <c r="B8" s="218">
        <v>489242</v>
      </c>
      <c r="C8" s="219">
        <f>662541+50000</f>
        <v>712541</v>
      </c>
      <c r="D8" s="75">
        <f t="shared" si="0"/>
        <v>145.64182960579836</v>
      </c>
    </row>
    <row r="9" spans="1:12" ht="18.95" customHeight="1" x14ac:dyDescent="0.2">
      <c r="A9" s="270" t="s">
        <v>96</v>
      </c>
      <c r="B9" s="218">
        <v>8355</v>
      </c>
      <c r="C9" s="219">
        <f>8711</f>
        <v>8711</v>
      </c>
      <c r="D9" s="75">
        <f t="shared" si="0"/>
        <v>104.26092160383004</v>
      </c>
    </row>
    <row r="10" spans="1:12" ht="18.95" customHeight="1" x14ac:dyDescent="0.2">
      <c r="A10" s="271" t="s">
        <v>97</v>
      </c>
      <c r="B10" s="230">
        <v>372164</v>
      </c>
      <c r="C10" s="220">
        <f>14189265+14384750+4142000</f>
        <v>32716015</v>
      </c>
      <c r="D10" s="78">
        <f t="shared" si="0"/>
        <v>8790.752195268753</v>
      </c>
      <c r="F10" s="11"/>
    </row>
    <row r="11" spans="1:12" ht="18.95" customHeight="1" x14ac:dyDescent="0.25">
      <c r="A11" s="265" t="s">
        <v>7</v>
      </c>
      <c r="B11" s="266">
        <f>SUM(B7:B10)</f>
        <v>5867450</v>
      </c>
      <c r="C11" s="221">
        <f>SUM(C7:C10)</f>
        <v>38866760</v>
      </c>
      <c r="D11" s="77">
        <f t="shared" si="0"/>
        <v>662.41314369956285</v>
      </c>
    </row>
    <row r="12" spans="1:12" s="6" customFormat="1" ht="21.75" customHeight="1" x14ac:dyDescent="0.2">
      <c r="A12" s="7" t="s">
        <v>118</v>
      </c>
      <c r="B12" s="218">
        <v>11058</v>
      </c>
      <c r="C12" s="222">
        <f>14384750+4142000</f>
        <v>18526750</v>
      </c>
      <c r="D12" s="75">
        <f t="shared" si="0"/>
        <v>167541.59884246698</v>
      </c>
    </row>
    <row r="13" spans="1:12" s="6" customFormat="1" ht="27.75" customHeight="1" thickBot="1" x14ac:dyDescent="0.3">
      <c r="A13" s="8" t="s">
        <v>81</v>
      </c>
      <c r="B13" s="267">
        <f>B11-B12</f>
        <v>5856392</v>
      </c>
      <c r="C13" s="223">
        <f>C11-C12</f>
        <v>20340010</v>
      </c>
      <c r="D13" s="76">
        <f t="shared" si="0"/>
        <v>347.31298724538931</v>
      </c>
    </row>
    <row r="14" spans="1:12" ht="13.5" thickTop="1" x14ac:dyDescent="0.2">
      <c r="A14" s="216"/>
      <c r="B14" s="216"/>
      <c r="C14" s="217"/>
      <c r="D14" s="216"/>
    </row>
    <row r="15" spans="1:12" ht="25.5" customHeight="1" thickBot="1" x14ac:dyDescent="0.3">
      <c r="A15" s="286" t="s">
        <v>92</v>
      </c>
      <c r="B15" s="286"/>
      <c r="C15" s="286"/>
      <c r="D15" s="2" t="s">
        <v>0</v>
      </c>
    </row>
    <row r="16" spans="1:12" s="22" customFormat="1" ht="36" customHeight="1" thickTop="1" thickBot="1" x14ac:dyDescent="0.25">
      <c r="A16" s="258" t="s">
        <v>75</v>
      </c>
      <c r="B16" s="262" t="s">
        <v>123</v>
      </c>
      <c r="C16" s="262" t="s">
        <v>124</v>
      </c>
      <c r="D16" s="259" t="s">
        <v>5</v>
      </c>
      <c r="E16" s="21"/>
      <c r="F16" s="21"/>
      <c r="G16" s="21"/>
      <c r="H16" s="67"/>
      <c r="I16" s="60"/>
      <c r="L16" s="23"/>
    </row>
    <row r="17" spans="1:12" s="22" customFormat="1" ht="14.25" thickTop="1" thickBot="1" x14ac:dyDescent="0.25">
      <c r="A17" s="268">
        <v>1</v>
      </c>
      <c r="B17" s="255">
        <v>2</v>
      </c>
      <c r="C17" s="255">
        <v>3</v>
      </c>
      <c r="D17" s="260" t="s">
        <v>90</v>
      </c>
      <c r="E17" s="21"/>
      <c r="F17" s="21">
        <f>C12-C116</f>
        <v>0</v>
      </c>
      <c r="G17" s="21"/>
      <c r="H17" s="67"/>
      <c r="I17" s="60"/>
      <c r="L17" s="23"/>
    </row>
    <row r="18" spans="1:12" s="16" customFormat="1" ht="15.75" thickTop="1" x14ac:dyDescent="0.25">
      <c r="A18" s="254" t="s">
        <v>78</v>
      </c>
      <c r="B18" s="81">
        <f>SUM(B19:B21)</f>
        <v>41281</v>
      </c>
      <c r="C18" s="81">
        <f>SUM(C19:C21)</f>
        <v>41861</v>
      </c>
      <c r="D18" s="297">
        <f>(C18/B18)*100</f>
        <v>101.40500472372278</v>
      </c>
      <c r="E18" s="24"/>
      <c r="F18" s="24"/>
      <c r="G18" s="24"/>
      <c r="H18" s="187"/>
      <c r="I18" s="61"/>
      <c r="L18" s="231"/>
    </row>
    <row r="19" spans="1:12" s="29" customFormat="1" ht="14.25" x14ac:dyDescent="0.2">
      <c r="A19" s="25" t="s">
        <v>100</v>
      </c>
      <c r="B19" s="27">
        <v>40711</v>
      </c>
      <c r="C19" s="27">
        <v>41387</v>
      </c>
      <c r="D19" s="232">
        <f>(C19/B19)*100</f>
        <v>101.66048488123603</v>
      </c>
      <c r="E19" s="28"/>
      <c r="F19" s="28"/>
      <c r="G19" s="28"/>
      <c r="H19" s="187"/>
      <c r="I19" s="51"/>
      <c r="L19" s="30"/>
    </row>
    <row r="20" spans="1:12" s="29" customFormat="1" ht="14.25" x14ac:dyDescent="0.2">
      <c r="A20" s="25" t="s">
        <v>98</v>
      </c>
      <c r="B20" s="27">
        <v>0</v>
      </c>
      <c r="C20" s="27">
        <v>150</v>
      </c>
      <c r="D20" s="232">
        <v>0</v>
      </c>
      <c r="E20" s="28"/>
      <c r="F20" s="28"/>
      <c r="G20" s="28"/>
      <c r="H20" s="187"/>
      <c r="I20" s="51"/>
      <c r="L20" s="30"/>
    </row>
    <row r="21" spans="1:12" s="29" customFormat="1" ht="14.25" x14ac:dyDescent="0.2">
      <c r="A21" s="234" t="s">
        <v>99</v>
      </c>
      <c r="B21" s="294">
        <v>570</v>
      </c>
      <c r="C21" s="294">
        <v>324</v>
      </c>
      <c r="D21" s="295">
        <f>(C21/B21)*100</f>
        <v>56.84210526315789</v>
      </c>
      <c r="E21" s="28"/>
      <c r="F21" s="28"/>
      <c r="G21" s="28"/>
      <c r="H21" s="28"/>
      <c r="I21" s="51"/>
      <c r="L21" s="30"/>
    </row>
    <row r="22" spans="1:12" s="32" customFormat="1" ht="15" x14ac:dyDescent="0.25">
      <c r="A22" s="235" t="s">
        <v>77</v>
      </c>
      <c r="B22" s="292">
        <f>SUM(B23:B25)</f>
        <v>433137</v>
      </c>
      <c r="C22" s="292">
        <f>SUM(C23:C25)</f>
        <v>462249</v>
      </c>
      <c r="D22" s="297">
        <f>(C22/B22)*100</f>
        <v>106.7211990663462</v>
      </c>
      <c r="E22" s="236"/>
      <c r="F22" s="24"/>
      <c r="G22" s="24"/>
      <c r="H22" s="24"/>
      <c r="I22" s="61"/>
      <c r="L22" s="33"/>
    </row>
    <row r="23" spans="1:12" s="32" customFormat="1" ht="14.25" x14ac:dyDescent="0.2">
      <c r="A23" s="25" t="s">
        <v>100</v>
      </c>
      <c r="B23" s="27">
        <v>421999</v>
      </c>
      <c r="C23" s="27">
        <f>452237</f>
        <v>452237</v>
      </c>
      <c r="D23" s="232">
        <f>(C23/B23)*100</f>
        <v>107.16541982326973</v>
      </c>
      <c r="E23" s="28"/>
      <c r="F23" s="28"/>
      <c r="G23" s="28"/>
      <c r="H23" s="28"/>
      <c r="I23" s="51"/>
      <c r="L23" s="33"/>
    </row>
    <row r="24" spans="1:12" s="32" customFormat="1" ht="14.25" x14ac:dyDescent="0.2">
      <c r="A24" s="25" t="s">
        <v>98</v>
      </c>
      <c r="B24" s="27">
        <v>650</v>
      </c>
      <c r="C24" s="27">
        <v>2950</v>
      </c>
      <c r="D24" s="232">
        <v>0</v>
      </c>
      <c r="E24" s="28"/>
      <c r="F24" s="28"/>
      <c r="G24" s="28"/>
      <c r="H24" s="28"/>
      <c r="I24" s="51"/>
      <c r="L24" s="33"/>
    </row>
    <row r="25" spans="1:12" s="29" customFormat="1" ht="14.25" x14ac:dyDescent="0.2">
      <c r="A25" s="234" t="s">
        <v>99</v>
      </c>
      <c r="B25" s="27">
        <v>10488</v>
      </c>
      <c r="C25" s="27">
        <v>7062</v>
      </c>
      <c r="D25" s="295">
        <f t="shared" ref="D25:D34" si="1">(C25/B25)*100</f>
        <v>67.33409610983982</v>
      </c>
      <c r="E25" s="28"/>
      <c r="F25" s="28"/>
      <c r="G25" s="28"/>
      <c r="H25" s="28"/>
      <c r="I25" s="51"/>
      <c r="L25" s="30"/>
    </row>
    <row r="26" spans="1:12" s="32" customFormat="1" ht="15" x14ac:dyDescent="0.25">
      <c r="A26" s="261" t="s">
        <v>76</v>
      </c>
      <c r="B26" s="292">
        <f>SUM(B27:B28)</f>
        <v>4494</v>
      </c>
      <c r="C26" s="292">
        <f>SUM(C27:C28)</f>
        <v>25225</v>
      </c>
      <c r="D26" s="297">
        <f t="shared" si="1"/>
        <v>561.30396083667108</v>
      </c>
      <c r="E26" s="236"/>
      <c r="F26" s="24"/>
      <c r="G26" s="24"/>
      <c r="H26" s="24"/>
      <c r="I26" s="61"/>
      <c r="L26" s="33"/>
    </row>
    <row r="27" spans="1:12" s="32" customFormat="1" ht="14.25" x14ac:dyDescent="0.2">
      <c r="A27" s="25" t="s">
        <v>100</v>
      </c>
      <c r="B27" s="27">
        <v>2262</v>
      </c>
      <c r="C27" s="27">
        <v>22193</v>
      </c>
      <c r="D27" s="232">
        <f t="shared" si="1"/>
        <v>981.1229000884174</v>
      </c>
      <c r="E27" s="28"/>
      <c r="F27" s="28"/>
      <c r="G27" s="28"/>
      <c r="H27" s="28"/>
      <c r="I27" s="51"/>
      <c r="L27" s="33"/>
    </row>
    <row r="28" spans="1:12" s="32" customFormat="1" ht="14.25" x14ac:dyDescent="0.2">
      <c r="A28" s="25" t="s">
        <v>98</v>
      </c>
      <c r="B28" s="27">
        <v>2232</v>
      </c>
      <c r="C28" s="27">
        <v>3032</v>
      </c>
      <c r="D28" s="232">
        <f t="shared" si="1"/>
        <v>135.84229390681003</v>
      </c>
      <c r="E28" s="28"/>
      <c r="F28" s="28"/>
      <c r="G28" s="28"/>
      <c r="H28" s="28"/>
      <c r="I28" s="51"/>
      <c r="L28" s="33"/>
    </row>
    <row r="29" spans="1:12" s="32" customFormat="1" ht="15" x14ac:dyDescent="0.25">
      <c r="A29" s="261" t="s">
        <v>114</v>
      </c>
      <c r="B29" s="292">
        <f>SUM(B30:B31)</f>
        <v>30260</v>
      </c>
      <c r="C29" s="292">
        <f>SUM(C30:C31)</f>
        <v>34050</v>
      </c>
      <c r="D29" s="293">
        <f t="shared" si="1"/>
        <v>112.52478519497686</v>
      </c>
      <c r="E29" s="28"/>
      <c r="F29" s="28"/>
      <c r="G29" s="28"/>
      <c r="H29" s="28"/>
      <c r="I29" s="51"/>
      <c r="L29" s="33"/>
    </row>
    <row r="30" spans="1:12" s="32" customFormat="1" ht="14.25" x14ac:dyDescent="0.2">
      <c r="A30" s="25" t="s">
        <v>100</v>
      </c>
      <c r="B30" s="27">
        <v>28260</v>
      </c>
      <c r="C30" s="27">
        <v>28526</v>
      </c>
      <c r="D30" s="232">
        <f t="shared" si="1"/>
        <v>100.94125973106864</v>
      </c>
      <c r="E30" s="28"/>
      <c r="F30" s="28"/>
      <c r="G30" s="28"/>
      <c r="H30" s="28"/>
      <c r="I30" s="51"/>
      <c r="L30" s="33"/>
    </row>
    <row r="31" spans="1:12" s="32" customFormat="1" ht="14.25" x14ac:dyDescent="0.2">
      <c r="A31" s="25" t="s">
        <v>98</v>
      </c>
      <c r="B31" s="27">
        <v>2000</v>
      </c>
      <c r="C31" s="27">
        <v>5524</v>
      </c>
      <c r="D31" s="232">
        <f t="shared" si="1"/>
        <v>276.2</v>
      </c>
      <c r="E31" s="28"/>
      <c r="F31" s="28"/>
      <c r="G31" s="28"/>
      <c r="H31" s="28"/>
      <c r="I31" s="51"/>
      <c r="L31" s="33"/>
    </row>
    <row r="32" spans="1:12" s="32" customFormat="1" ht="15" x14ac:dyDescent="0.25">
      <c r="A32" s="235" t="s">
        <v>79</v>
      </c>
      <c r="B32" s="292">
        <f>SUM(B33:B35)</f>
        <v>251006</v>
      </c>
      <c r="C32" s="292">
        <f>SUM(C33:C35)</f>
        <v>18058395</v>
      </c>
      <c r="D32" s="293">
        <f t="shared" si="1"/>
        <v>7194.4077034015127</v>
      </c>
      <c r="E32" s="24"/>
      <c r="F32" s="24"/>
      <c r="G32" s="24"/>
      <c r="H32" s="24"/>
      <c r="I32" s="61"/>
      <c r="L32" s="33"/>
    </row>
    <row r="33" spans="1:13" s="32" customFormat="1" ht="14.25" x14ac:dyDescent="0.2">
      <c r="A33" s="25" t="s">
        <v>100</v>
      </c>
      <c r="B33" s="27">
        <v>169670</v>
      </c>
      <c r="C33" s="27">
        <f>186677</f>
        <v>186677</v>
      </c>
      <c r="D33" s="232">
        <f t="shared" si="1"/>
        <v>110.02357517534035</v>
      </c>
      <c r="E33" s="83"/>
      <c r="F33" s="28"/>
      <c r="G33" s="28"/>
      <c r="H33" s="28"/>
      <c r="I33" s="51"/>
      <c r="L33" s="33"/>
    </row>
    <row r="34" spans="1:13" s="29" customFormat="1" ht="14.25" x14ac:dyDescent="0.2">
      <c r="A34" s="233" t="s">
        <v>103</v>
      </c>
      <c r="B34" s="27">
        <v>81336</v>
      </c>
      <c r="C34" s="27">
        <v>8295</v>
      </c>
      <c r="D34" s="232">
        <f t="shared" si="1"/>
        <v>10.198436116848628</v>
      </c>
      <c r="E34" s="28"/>
      <c r="F34" s="28"/>
      <c r="G34" s="28"/>
      <c r="H34" s="28"/>
      <c r="I34" s="51"/>
      <c r="L34" s="30"/>
    </row>
    <row r="35" spans="1:13" s="29" customFormat="1" ht="14.25" x14ac:dyDescent="0.2">
      <c r="A35" s="234" t="s">
        <v>99</v>
      </c>
      <c r="B35" s="294">
        <v>0</v>
      </c>
      <c r="C35" s="294">
        <f>13921423+3942000</f>
        <v>17863423</v>
      </c>
      <c r="D35" s="295">
        <v>0</v>
      </c>
      <c r="E35" s="28"/>
      <c r="F35" s="28"/>
      <c r="G35" s="28"/>
      <c r="H35" s="28"/>
      <c r="I35" s="51"/>
      <c r="L35" s="30"/>
    </row>
    <row r="36" spans="1:13" s="32" customFormat="1" ht="17.25" customHeight="1" x14ac:dyDescent="0.25">
      <c r="A36" s="250" t="s">
        <v>80</v>
      </c>
      <c r="B36" s="296">
        <f>SUM(B37:B39)</f>
        <v>61434</v>
      </c>
      <c r="C36" s="296">
        <f>SUM(C37:C39)</f>
        <v>81721</v>
      </c>
      <c r="D36" s="303">
        <f>(C36/B36)*100</f>
        <v>133.0224305759026</v>
      </c>
      <c r="E36" s="24"/>
      <c r="F36" s="24"/>
      <c r="G36" s="24"/>
      <c r="H36" s="24"/>
      <c r="I36" s="61"/>
      <c r="L36" s="33"/>
    </row>
    <row r="37" spans="1:13" s="32" customFormat="1" ht="14.25" x14ac:dyDescent="0.2">
      <c r="A37" s="25" t="s">
        <v>100</v>
      </c>
      <c r="B37" s="27">
        <v>20109</v>
      </c>
      <c r="C37" s="27">
        <v>17609</v>
      </c>
      <c r="D37" s="232">
        <f>(C37/B37)*100</f>
        <v>87.567755731264612</v>
      </c>
      <c r="E37" s="28"/>
      <c r="F37" s="28"/>
      <c r="G37" s="28"/>
      <c r="H37" s="28"/>
      <c r="I37" s="51"/>
      <c r="L37" s="33"/>
    </row>
    <row r="38" spans="1:13" s="32" customFormat="1" ht="14.25" hidden="1" x14ac:dyDescent="0.2">
      <c r="A38" s="25" t="s">
        <v>98</v>
      </c>
      <c r="B38" s="27">
        <v>0</v>
      </c>
      <c r="C38" s="27">
        <v>0</v>
      </c>
      <c r="D38" s="232" t="e">
        <f t="shared" ref="D38" si="2">(C38/B38)*100</f>
        <v>#DIV/0!</v>
      </c>
      <c r="E38" s="28"/>
      <c r="F38" s="28"/>
      <c r="G38" s="28"/>
      <c r="H38" s="28"/>
      <c r="I38" s="51"/>
      <c r="L38" s="33"/>
    </row>
    <row r="39" spans="1:13" s="29" customFormat="1" ht="14.25" x14ac:dyDescent="0.2">
      <c r="A39" s="234" t="s">
        <v>103</v>
      </c>
      <c r="B39" s="294">
        <v>41325</v>
      </c>
      <c r="C39" s="294">
        <v>64112</v>
      </c>
      <c r="D39" s="295">
        <f>(C39/B39)*100</f>
        <v>155.14095583787054</v>
      </c>
      <c r="E39" s="28"/>
      <c r="F39" s="28"/>
      <c r="G39" s="28"/>
      <c r="H39" s="187"/>
      <c r="I39" s="51"/>
      <c r="L39" s="30"/>
    </row>
    <row r="40" spans="1:13" s="15" customFormat="1" ht="16.5" customHeight="1" x14ac:dyDescent="0.25">
      <c r="A40" s="250" t="s">
        <v>113</v>
      </c>
      <c r="B40" s="296">
        <f>SUM(B41:B44)</f>
        <v>17425</v>
      </c>
      <c r="C40" s="296">
        <f>SUM(C41:C44)</f>
        <v>37793</v>
      </c>
      <c r="D40" s="303">
        <f>(C40/B40)*100</f>
        <v>216.88952654232426</v>
      </c>
      <c r="E40" s="236"/>
      <c r="F40" s="24"/>
      <c r="G40" s="24"/>
      <c r="H40" s="187"/>
      <c r="I40" s="61"/>
      <c r="L40" s="14"/>
    </row>
    <row r="41" spans="1:13" s="15" customFormat="1" ht="15" customHeight="1" x14ac:dyDescent="0.2">
      <c r="A41" s="25" t="s">
        <v>100</v>
      </c>
      <c r="B41" s="304">
        <v>3437</v>
      </c>
      <c r="C41" s="304">
        <v>10154</v>
      </c>
      <c r="D41" s="232">
        <f>(C41/B41)*100</f>
        <v>295.43206284550479</v>
      </c>
      <c r="E41" s="28"/>
      <c r="F41" s="28"/>
      <c r="G41" s="28"/>
      <c r="H41" s="187"/>
      <c r="I41" s="51"/>
      <c r="L41" s="14"/>
    </row>
    <row r="42" spans="1:13" s="15" customFormat="1" ht="15" customHeight="1" x14ac:dyDescent="0.2">
      <c r="A42" s="25" t="s">
        <v>98</v>
      </c>
      <c r="B42" s="27">
        <v>0</v>
      </c>
      <c r="C42" s="304">
        <v>0</v>
      </c>
      <c r="D42" s="232">
        <v>0</v>
      </c>
      <c r="E42" s="28"/>
      <c r="F42" s="28"/>
      <c r="G42" s="28"/>
      <c r="H42" s="187"/>
      <c r="I42" s="51"/>
      <c r="L42" s="14"/>
    </row>
    <row r="43" spans="1:13" s="29" customFormat="1" ht="14.25" x14ac:dyDescent="0.2">
      <c r="A43" s="233" t="s">
        <v>103</v>
      </c>
      <c r="B43" s="27">
        <v>13988</v>
      </c>
      <c r="C43" s="304">
        <v>27639</v>
      </c>
      <c r="D43" s="232">
        <f>(C43/B43)*100</f>
        <v>197.59079210752074</v>
      </c>
      <c r="E43" s="28"/>
      <c r="F43" s="237"/>
      <c r="G43" s="237"/>
      <c r="H43" s="237"/>
      <c r="I43" s="51"/>
      <c r="L43" s="30"/>
    </row>
    <row r="44" spans="1:13" s="29" customFormat="1" ht="14.25" hidden="1" x14ac:dyDescent="0.2">
      <c r="A44" s="234" t="s">
        <v>99</v>
      </c>
      <c r="B44" s="294">
        <v>0</v>
      </c>
      <c r="C44" s="305">
        <v>0</v>
      </c>
      <c r="D44" s="295">
        <v>0</v>
      </c>
      <c r="E44" s="28"/>
      <c r="F44" s="237"/>
      <c r="G44" s="237"/>
      <c r="H44" s="237"/>
      <c r="I44" s="51"/>
      <c r="L44" s="30"/>
    </row>
    <row r="45" spans="1:13" s="45" customFormat="1" ht="16.5" customHeight="1" x14ac:dyDescent="0.25">
      <c r="A45" s="261" t="s">
        <v>112</v>
      </c>
      <c r="B45" s="292">
        <f>B46+B49+B52</f>
        <v>31261</v>
      </c>
      <c r="C45" s="292">
        <f t="shared" ref="C45" si="3">C46+C49+C52</f>
        <v>11030240</v>
      </c>
      <c r="D45" s="293">
        <f t="shared" ref="D45:D50" si="4">(C45/B45)*100</f>
        <v>35284.347909535842</v>
      </c>
      <c r="E45" s="24"/>
      <c r="F45" s="61"/>
      <c r="G45" s="61"/>
      <c r="H45" s="187"/>
      <c r="I45" s="61"/>
      <c r="L45" s="238"/>
    </row>
    <row r="46" spans="1:13" s="45" customFormat="1" ht="14.25" x14ac:dyDescent="0.2">
      <c r="A46" s="239" t="s">
        <v>17</v>
      </c>
      <c r="B46" s="298">
        <f>B47+B48</f>
        <v>21566</v>
      </c>
      <c r="C46" s="298">
        <f t="shared" ref="C46" si="5">C47+C48</f>
        <v>34195</v>
      </c>
      <c r="D46" s="232">
        <f t="shared" si="4"/>
        <v>158.55977000834648</v>
      </c>
      <c r="E46" s="28"/>
      <c r="F46" s="28"/>
      <c r="G46" s="28"/>
      <c r="H46" s="63"/>
      <c r="I46" s="240"/>
      <c r="J46" s="70"/>
      <c r="K46" s="70"/>
      <c r="L46" s="63"/>
      <c r="M46" s="70"/>
    </row>
    <row r="47" spans="1:13" s="45" customFormat="1" ht="14.25" x14ac:dyDescent="0.2">
      <c r="A47" s="25" t="s">
        <v>100</v>
      </c>
      <c r="B47" s="27">
        <v>1086</v>
      </c>
      <c r="C47" s="27">
        <v>12242</v>
      </c>
      <c r="D47" s="232">
        <f t="shared" si="4"/>
        <v>1127.2559852670349</v>
      </c>
      <c r="E47" s="28"/>
      <c r="F47" s="28"/>
      <c r="G47" s="28"/>
      <c r="H47" s="63"/>
      <c r="I47" s="51"/>
      <c r="J47" s="38"/>
      <c r="K47" s="70"/>
      <c r="L47" s="63"/>
      <c r="M47" s="70"/>
    </row>
    <row r="48" spans="1:13" s="45" customFormat="1" ht="14.25" x14ac:dyDescent="0.2">
      <c r="A48" s="233" t="s">
        <v>103</v>
      </c>
      <c r="B48" s="27">
        <v>20480</v>
      </c>
      <c r="C48" s="27">
        <v>21953</v>
      </c>
      <c r="D48" s="232">
        <f t="shared" si="4"/>
        <v>107.19238281250001</v>
      </c>
      <c r="E48" s="28"/>
      <c r="F48" s="28"/>
      <c r="G48" s="28"/>
      <c r="H48" s="63"/>
      <c r="I48" s="51"/>
      <c r="J48" s="241"/>
      <c r="K48" s="70"/>
      <c r="L48" s="63"/>
      <c r="M48" s="70"/>
    </row>
    <row r="49" spans="1:13" s="45" customFormat="1" ht="14.25" x14ac:dyDescent="0.2">
      <c r="A49" s="48" t="s">
        <v>18</v>
      </c>
      <c r="B49" s="298">
        <f>B50</f>
        <v>9695</v>
      </c>
      <c r="C49" s="298">
        <f>C50+C51</f>
        <v>3756889</v>
      </c>
      <c r="D49" s="232">
        <f t="shared" si="4"/>
        <v>38750.789066529134</v>
      </c>
      <c r="E49" s="28"/>
      <c r="F49" s="28"/>
      <c r="G49" s="28"/>
      <c r="H49" s="187"/>
      <c r="I49" s="240"/>
      <c r="J49" s="70"/>
      <c r="K49" s="70"/>
      <c r="L49" s="63"/>
      <c r="M49" s="70"/>
    </row>
    <row r="50" spans="1:13" s="45" customFormat="1" ht="14.25" x14ac:dyDescent="0.2">
      <c r="A50" s="25" t="s">
        <v>100</v>
      </c>
      <c r="B50" s="27">
        <v>9695</v>
      </c>
      <c r="C50" s="27">
        <v>3750963</v>
      </c>
      <c r="D50" s="232">
        <f t="shared" si="4"/>
        <v>38689.664775657555</v>
      </c>
      <c r="E50" s="242"/>
      <c r="F50" s="242"/>
      <c r="G50" s="28"/>
      <c r="H50" s="187"/>
      <c r="I50" s="51"/>
      <c r="J50" s="70"/>
      <c r="K50" s="70"/>
      <c r="L50" s="63"/>
      <c r="M50" s="70"/>
    </row>
    <row r="51" spans="1:13" s="45" customFormat="1" ht="14.25" x14ac:dyDescent="0.2">
      <c r="A51" s="25" t="s">
        <v>98</v>
      </c>
      <c r="B51" s="27">
        <v>0</v>
      </c>
      <c r="C51" s="304">
        <v>5926</v>
      </c>
      <c r="D51" s="232">
        <v>0</v>
      </c>
      <c r="E51" s="242"/>
      <c r="F51" s="242"/>
      <c r="G51" s="28"/>
      <c r="H51" s="187"/>
      <c r="I51" s="51"/>
      <c r="J51" s="70"/>
      <c r="K51" s="70"/>
      <c r="L51" s="63"/>
      <c r="M51" s="70"/>
    </row>
    <row r="52" spans="1:13" s="45" customFormat="1" ht="15.75" customHeight="1" x14ac:dyDescent="0.2">
      <c r="A52" s="243" t="s">
        <v>115</v>
      </c>
      <c r="B52" s="306">
        <f>B53</f>
        <v>0</v>
      </c>
      <c r="C52" s="306">
        <f t="shared" ref="C52" si="6">C53</f>
        <v>7239156</v>
      </c>
      <c r="D52" s="232">
        <v>0</v>
      </c>
      <c r="E52" s="28"/>
      <c r="F52" s="28"/>
      <c r="G52" s="28"/>
      <c r="H52" s="63"/>
      <c r="I52" s="240"/>
      <c r="J52" s="70"/>
      <c r="K52" s="70"/>
      <c r="L52" s="63"/>
      <c r="M52" s="70"/>
    </row>
    <row r="53" spans="1:13" s="45" customFormat="1" ht="14.25" x14ac:dyDescent="0.2">
      <c r="A53" s="233" t="s">
        <v>100</v>
      </c>
      <c r="B53" s="27">
        <v>0</v>
      </c>
      <c r="C53" s="27">
        <v>7239156</v>
      </c>
      <c r="D53" s="232">
        <v>0</v>
      </c>
      <c r="E53" s="28"/>
      <c r="F53" s="28"/>
      <c r="G53" s="28"/>
      <c r="H53" s="28"/>
      <c r="I53" s="51"/>
      <c r="J53" s="70"/>
      <c r="K53" s="63"/>
      <c r="L53" s="63"/>
      <c r="M53" s="70"/>
    </row>
    <row r="54" spans="1:13" s="15" customFormat="1" ht="15" x14ac:dyDescent="0.25">
      <c r="A54" s="235" t="s">
        <v>111</v>
      </c>
      <c r="B54" s="292">
        <f>B55+B58</f>
        <v>52770</v>
      </c>
      <c r="C54" s="292">
        <f t="shared" ref="C54" si="7">C55+C58</f>
        <v>2051980</v>
      </c>
      <c r="D54" s="293">
        <f>(C54/B54)*100</f>
        <v>3888.5351525487968</v>
      </c>
      <c r="E54" s="236"/>
      <c r="F54" s="61"/>
      <c r="G54" s="61"/>
      <c r="H54" s="187"/>
      <c r="I54" s="61"/>
      <c r="J54" s="72"/>
      <c r="K54" s="72"/>
      <c r="L54" s="73"/>
      <c r="M54" s="72"/>
    </row>
    <row r="55" spans="1:13" s="29" customFormat="1" ht="14.25" x14ac:dyDescent="0.2">
      <c r="A55" s="239" t="s">
        <v>17</v>
      </c>
      <c r="B55" s="298">
        <f>B56+B57</f>
        <v>52770</v>
      </c>
      <c r="C55" s="298">
        <f t="shared" ref="C55" si="8">C56+C57</f>
        <v>884338</v>
      </c>
      <c r="D55" s="232">
        <f>(C55/B55)*100</f>
        <v>1675.8347545954141</v>
      </c>
      <c r="E55" s="244"/>
      <c r="F55" s="244"/>
      <c r="G55" s="244"/>
      <c r="H55" s="187"/>
      <c r="I55" s="240"/>
      <c r="J55" s="49"/>
      <c r="K55" s="49"/>
      <c r="L55" s="50"/>
      <c r="M55" s="49"/>
    </row>
    <row r="56" spans="1:13" s="29" customFormat="1" ht="14.25" x14ac:dyDescent="0.2">
      <c r="A56" s="25" t="s">
        <v>100</v>
      </c>
      <c r="B56" s="27">
        <v>1707</v>
      </c>
      <c r="C56" s="27">
        <v>820400</v>
      </c>
      <c r="D56" s="232">
        <f>(C56/B56)*100</f>
        <v>48060.925600468661</v>
      </c>
      <c r="E56" s="244"/>
      <c r="F56" s="244"/>
      <c r="G56" s="244"/>
      <c r="H56" s="187"/>
      <c r="I56" s="51"/>
      <c r="J56" s="71"/>
      <c r="K56" s="49"/>
      <c r="L56" s="50"/>
      <c r="M56" s="49"/>
    </row>
    <row r="57" spans="1:13" s="29" customFormat="1" ht="14.25" x14ac:dyDescent="0.2">
      <c r="A57" s="233" t="s">
        <v>103</v>
      </c>
      <c r="B57" s="27">
        <v>51063</v>
      </c>
      <c r="C57" s="27">
        <v>63938</v>
      </c>
      <c r="D57" s="232">
        <f>(C57/B57)*100</f>
        <v>125.21395139337682</v>
      </c>
      <c r="E57" s="244"/>
      <c r="F57" s="244"/>
      <c r="G57" s="244"/>
      <c r="H57" s="187"/>
      <c r="I57" s="51"/>
      <c r="J57" s="49"/>
      <c r="K57" s="49"/>
      <c r="L57" s="50"/>
      <c r="M57" s="49"/>
    </row>
    <row r="58" spans="1:13" s="15" customFormat="1" ht="17.45" customHeight="1" x14ac:dyDescent="0.2">
      <c r="A58" s="48" t="s">
        <v>18</v>
      </c>
      <c r="B58" s="298">
        <f>B60+B59</f>
        <v>0</v>
      </c>
      <c r="C58" s="298">
        <f>C60+C59</f>
        <v>1167642</v>
      </c>
      <c r="D58" s="232">
        <v>0</v>
      </c>
      <c r="E58" s="244"/>
      <c r="F58" s="244"/>
      <c r="G58" s="244"/>
      <c r="H58" s="187"/>
      <c r="I58" s="240"/>
      <c r="J58" s="72"/>
      <c r="K58" s="72"/>
      <c r="L58" s="73"/>
      <c r="M58" s="72"/>
    </row>
    <row r="59" spans="1:13" s="15" customFormat="1" ht="17.45" customHeight="1" x14ac:dyDescent="0.2">
      <c r="A59" s="25" t="s">
        <v>100</v>
      </c>
      <c r="B59" s="27">
        <v>0</v>
      </c>
      <c r="C59" s="27">
        <v>1167475</v>
      </c>
      <c r="D59" s="232">
        <v>0</v>
      </c>
      <c r="E59" s="244"/>
      <c r="F59" s="244"/>
      <c r="G59" s="244"/>
      <c r="H59" s="187"/>
      <c r="I59" s="240"/>
      <c r="J59" s="72"/>
      <c r="K59" s="72"/>
      <c r="L59" s="73"/>
      <c r="M59" s="72"/>
    </row>
    <row r="60" spans="1:13" s="15" customFormat="1" ht="15" customHeight="1" x14ac:dyDescent="0.2">
      <c r="A60" s="251" t="s">
        <v>98</v>
      </c>
      <c r="B60" s="27">
        <v>0</v>
      </c>
      <c r="C60" s="27">
        <v>167</v>
      </c>
      <c r="D60" s="232">
        <v>0</v>
      </c>
      <c r="E60" s="28"/>
      <c r="F60" s="28"/>
      <c r="G60" s="28"/>
      <c r="H60" s="187"/>
      <c r="I60" s="51"/>
      <c r="J60" s="72"/>
      <c r="K60" s="72"/>
      <c r="L60" s="73"/>
      <c r="M60" s="72"/>
    </row>
    <row r="61" spans="1:13" s="15" customFormat="1" ht="15" customHeight="1" x14ac:dyDescent="0.25">
      <c r="A61" s="272" t="s">
        <v>83</v>
      </c>
      <c r="B61" s="292">
        <f>B62+B66</f>
        <v>62762</v>
      </c>
      <c r="C61" s="292">
        <f>C62+C66</f>
        <v>1899617</v>
      </c>
      <c r="D61" s="293">
        <f>(C61/B61)*100</f>
        <v>3026.6992766323574</v>
      </c>
      <c r="E61" s="24"/>
      <c r="F61" s="61"/>
      <c r="G61" s="61"/>
      <c r="H61" s="187"/>
      <c r="I61" s="61"/>
      <c r="J61" s="72"/>
      <c r="K61" s="72"/>
      <c r="L61" s="73"/>
      <c r="M61" s="72"/>
    </row>
    <row r="62" spans="1:13" s="15" customFormat="1" ht="15" customHeight="1" x14ac:dyDescent="0.2">
      <c r="A62" s="239" t="s">
        <v>17</v>
      </c>
      <c r="B62" s="298">
        <f>B63+B64+B65</f>
        <v>22040</v>
      </c>
      <c r="C62" s="298">
        <f>C63+C64+C65</f>
        <v>40895</v>
      </c>
      <c r="D62" s="232">
        <f>(C62/B62)*100</f>
        <v>185.54900181488202</v>
      </c>
      <c r="E62" s="244"/>
      <c r="F62" s="244"/>
      <c r="G62" s="244"/>
      <c r="H62" s="187"/>
      <c r="I62" s="240"/>
      <c r="J62" s="72"/>
      <c r="K62" s="72"/>
      <c r="L62" s="73"/>
      <c r="M62" s="72"/>
    </row>
    <row r="63" spans="1:13" s="15" customFormat="1" ht="15" customHeight="1" x14ac:dyDescent="0.2">
      <c r="A63" s="25" t="s">
        <v>100</v>
      </c>
      <c r="B63" s="27">
        <v>2040</v>
      </c>
      <c r="C63" s="27">
        <v>2045</v>
      </c>
      <c r="D63" s="232">
        <f>(C63/B63)*100</f>
        <v>100.24509803921569</v>
      </c>
      <c r="E63" s="28"/>
      <c r="F63" s="28"/>
      <c r="G63" s="28"/>
      <c r="H63" s="187"/>
      <c r="I63" s="51"/>
      <c r="J63" s="71"/>
      <c r="K63" s="72"/>
      <c r="L63" s="73"/>
      <c r="M63" s="72"/>
    </row>
    <row r="64" spans="1:13" s="15" customFormat="1" ht="15" hidden="1" customHeight="1" x14ac:dyDescent="0.2">
      <c r="A64" s="25" t="s">
        <v>98</v>
      </c>
      <c r="B64" s="27">
        <v>0</v>
      </c>
      <c r="C64" s="27">
        <v>0</v>
      </c>
      <c r="D64" s="232">
        <v>0</v>
      </c>
      <c r="E64" s="28"/>
      <c r="F64" s="28"/>
      <c r="G64" s="28"/>
      <c r="H64" s="187"/>
      <c r="I64" s="51"/>
      <c r="J64" s="71"/>
      <c r="K64" s="72"/>
      <c r="L64" s="73"/>
      <c r="M64" s="72"/>
    </row>
    <row r="65" spans="1:13" s="15" customFormat="1" ht="15" customHeight="1" x14ac:dyDescent="0.2">
      <c r="A65" s="233" t="s">
        <v>103</v>
      </c>
      <c r="B65" s="27">
        <v>20000</v>
      </c>
      <c r="C65" s="27">
        <v>38850</v>
      </c>
      <c r="D65" s="232">
        <f>(C65/B65)*100</f>
        <v>194.25</v>
      </c>
      <c r="E65" s="28"/>
      <c r="F65" s="28"/>
      <c r="G65" s="28"/>
      <c r="H65" s="187"/>
      <c r="I65" s="51"/>
      <c r="J65" s="72"/>
      <c r="K65" s="72"/>
      <c r="L65" s="73"/>
      <c r="M65" s="72"/>
    </row>
    <row r="66" spans="1:13" s="15" customFormat="1" ht="17.45" customHeight="1" x14ac:dyDescent="0.2">
      <c r="A66" s="48" t="s">
        <v>18</v>
      </c>
      <c r="B66" s="298">
        <f>B67+B68</f>
        <v>40722</v>
      </c>
      <c r="C66" s="298">
        <f t="shared" ref="C66" si="9">C67+C68</f>
        <v>1858722</v>
      </c>
      <c r="D66" s="232">
        <f>(C66/B66)*100</f>
        <v>4564.4172683070583</v>
      </c>
      <c r="E66" s="244"/>
      <c r="F66" s="28"/>
      <c r="G66" s="28"/>
      <c r="H66" s="28"/>
      <c r="I66" s="51"/>
      <c r="J66" s="72"/>
      <c r="K66" s="72"/>
      <c r="L66" s="73"/>
      <c r="M66" s="72"/>
    </row>
    <row r="67" spans="1:13" s="15" customFormat="1" ht="15" customHeight="1" x14ac:dyDescent="0.2">
      <c r="A67" s="25" t="s">
        <v>100</v>
      </c>
      <c r="B67" s="27">
        <v>0</v>
      </c>
      <c r="C67" s="27">
        <v>1160032</v>
      </c>
      <c r="D67" s="232">
        <v>0</v>
      </c>
      <c r="E67" s="28"/>
      <c r="F67" s="28"/>
      <c r="G67" s="28"/>
      <c r="H67" s="187"/>
      <c r="I67" s="51"/>
      <c r="J67" s="72"/>
      <c r="K67" s="72"/>
      <c r="L67" s="73"/>
      <c r="M67" s="72"/>
    </row>
    <row r="68" spans="1:13" s="15" customFormat="1" ht="15" customHeight="1" thickBot="1" x14ac:dyDescent="0.25">
      <c r="A68" s="25" t="s">
        <v>98</v>
      </c>
      <c r="B68" s="307">
        <v>40722</v>
      </c>
      <c r="C68" s="307">
        <v>698690</v>
      </c>
      <c r="D68" s="232">
        <f>(C68/B68)*100</f>
        <v>1715.7556112175237</v>
      </c>
      <c r="E68" s="28"/>
      <c r="F68" s="28"/>
      <c r="G68" s="28"/>
      <c r="H68" s="187"/>
      <c r="I68" s="51"/>
      <c r="J68" s="72"/>
      <c r="K68" s="72"/>
      <c r="L68" s="73"/>
      <c r="M68" s="72"/>
    </row>
    <row r="69" spans="1:13" s="15" customFormat="1" ht="15" customHeight="1" thickTop="1" x14ac:dyDescent="0.2">
      <c r="A69" s="274"/>
      <c r="B69" s="275"/>
      <c r="C69" s="275"/>
      <c r="D69" s="276"/>
      <c r="E69" s="28"/>
      <c r="F69" s="28"/>
      <c r="G69" s="28"/>
      <c r="H69" s="187"/>
      <c r="I69" s="51"/>
      <c r="J69" s="72"/>
      <c r="K69" s="72"/>
      <c r="L69" s="73"/>
      <c r="M69" s="72"/>
    </row>
    <row r="70" spans="1:13" s="15" customFormat="1" ht="15" customHeight="1" thickBot="1" x14ac:dyDescent="0.25">
      <c r="A70" s="277"/>
      <c r="B70" s="278"/>
      <c r="C70" s="278"/>
      <c r="D70" s="279" t="s">
        <v>0</v>
      </c>
      <c r="E70" s="28"/>
      <c r="F70" s="28"/>
      <c r="G70" s="28"/>
      <c r="H70" s="187"/>
      <c r="I70" s="51"/>
      <c r="J70" s="72"/>
      <c r="K70" s="72"/>
      <c r="L70" s="73"/>
      <c r="M70" s="72"/>
    </row>
    <row r="71" spans="1:13" s="45" customFormat="1" ht="36" customHeight="1" thickTop="1" thickBot="1" x14ac:dyDescent="0.25">
      <c r="A71" s="258" t="s">
        <v>75</v>
      </c>
      <c r="B71" s="262" t="s">
        <v>123</v>
      </c>
      <c r="C71" s="262" t="s">
        <v>124</v>
      </c>
      <c r="D71" s="259" t="s">
        <v>5</v>
      </c>
      <c r="E71" s="28"/>
      <c r="F71" s="28"/>
      <c r="G71" s="160"/>
      <c r="H71" s="63"/>
      <c r="I71" s="51"/>
      <c r="J71" s="70"/>
      <c r="K71" s="63"/>
      <c r="L71" s="63"/>
      <c r="M71" s="70"/>
    </row>
    <row r="72" spans="1:13" s="45" customFormat="1" ht="15.75" thickTop="1" thickBot="1" x14ac:dyDescent="0.25">
      <c r="A72" s="268">
        <v>1</v>
      </c>
      <c r="B72" s="255">
        <v>2</v>
      </c>
      <c r="C72" s="255">
        <v>3</v>
      </c>
      <c r="D72" s="260" t="s">
        <v>90</v>
      </c>
      <c r="E72" s="28"/>
      <c r="F72" s="28"/>
      <c r="G72" s="160"/>
      <c r="H72" s="63"/>
      <c r="I72" s="51"/>
      <c r="J72" s="70"/>
      <c r="K72" s="63"/>
      <c r="L72" s="63"/>
      <c r="M72" s="70"/>
    </row>
    <row r="73" spans="1:13" s="45" customFormat="1" ht="15.75" thickTop="1" x14ac:dyDescent="0.25">
      <c r="A73" s="245" t="s">
        <v>110</v>
      </c>
      <c r="B73" s="292">
        <f>SUM(B74,B78)</f>
        <v>200310</v>
      </c>
      <c r="C73" s="292">
        <f>SUM(C74,C78)</f>
        <v>355859</v>
      </c>
      <c r="D73" s="293">
        <f>(C73/B73)*100</f>
        <v>177.65413608906195</v>
      </c>
      <c r="E73" s="28"/>
      <c r="F73" s="28"/>
      <c r="G73" s="160"/>
      <c r="H73" s="63"/>
      <c r="I73" s="51"/>
      <c r="J73" s="70"/>
      <c r="K73" s="63"/>
      <c r="L73" s="63"/>
      <c r="M73" s="70"/>
    </row>
    <row r="74" spans="1:13" s="15" customFormat="1" ht="15" customHeight="1" x14ac:dyDescent="0.2">
      <c r="A74" s="239" t="s">
        <v>17</v>
      </c>
      <c r="B74" s="298">
        <f>B75+B76+B77</f>
        <v>187488</v>
      </c>
      <c r="C74" s="298">
        <f>C75+C76+C77</f>
        <v>249797</v>
      </c>
      <c r="D74" s="232">
        <f>(C74/B74)*100</f>
        <v>133.23359361665814</v>
      </c>
      <c r="E74" s="244"/>
      <c r="F74" s="244"/>
      <c r="G74" s="244"/>
      <c r="H74" s="187"/>
      <c r="I74" s="240"/>
      <c r="J74" s="72"/>
      <c r="K74" s="72"/>
      <c r="L74" s="73"/>
      <c r="M74" s="72"/>
    </row>
    <row r="75" spans="1:13" s="45" customFormat="1" ht="14.25" x14ac:dyDescent="0.2">
      <c r="A75" s="25" t="s">
        <v>100</v>
      </c>
      <c r="B75" s="27">
        <v>9448</v>
      </c>
      <c r="C75" s="27">
        <v>27357</v>
      </c>
      <c r="D75" s="232">
        <f>(C75/B75)*100</f>
        <v>289.5533446232007</v>
      </c>
      <c r="E75" s="28"/>
      <c r="F75" s="28"/>
      <c r="G75" s="160"/>
      <c r="H75" s="63"/>
      <c r="I75" s="51"/>
      <c r="J75" s="70"/>
      <c r="K75" s="63"/>
      <c r="L75" s="63"/>
      <c r="M75" s="70"/>
    </row>
    <row r="76" spans="1:13" s="45" customFormat="1" ht="14.25" x14ac:dyDescent="0.2">
      <c r="A76" s="25" t="s">
        <v>98</v>
      </c>
      <c r="B76" s="27">
        <v>0</v>
      </c>
      <c r="C76" s="27">
        <v>115</v>
      </c>
      <c r="D76" s="232">
        <v>0</v>
      </c>
      <c r="E76" s="28"/>
      <c r="F76" s="28"/>
      <c r="G76" s="160"/>
      <c r="H76" s="63"/>
      <c r="I76" s="51"/>
      <c r="J76" s="70"/>
      <c r="K76" s="63"/>
      <c r="L76" s="63"/>
      <c r="M76" s="70"/>
    </row>
    <row r="77" spans="1:13" s="45" customFormat="1" ht="14.25" x14ac:dyDescent="0.2">
      <c r="A77" s="233" t="s">
        <v>103</v>
      </c>
      <c r="B77" s="27">
        <v>178040</v>
      </c>
      <c r="C77" s="27">
        <v>222325</v>
      </c>
      <c r="D77" s="232">
        <f>(C77/B77)*100</f>
        <v>124.8736239047405</v>
      </c>
      <c r="E77" s="28"/>
      <c r="F77" s="28"/>
      <c r="G77" s="160"/>
      <c r="H77" s="63"/>
      <c r="I77" s="51"/>
      <c r="J77" s="70"/>
      <c r="K77" s="63"/>
      <c r="L77" s="63"/>
      <c r="M77" s="70"/>
    </row>
    <row r="78" spans="1:13" s="15" customFormat="1" ht="17.45" customHeight="1" x14ac:dyDescent="0.2">
      <c r="A78" s="48" t="s">
        <v>18</v>
      </c>
      <c r="B78" s="298">
        <f>B79+B80</f>
        <v>12822</v>
      </c>
      <c r="C78" s="298">
        <f>C79+C80</f>
        <v>106062</v>
      </c>
      <c r="D78" s="232">
        <f>(C78/B78)*100</f>
        <v>827.18764623303707</v>
      </c>
      <c r="E78" s="244"/>
      <c r="F78" s="28"/>
      <c r="G78" s="28"/>
      <c r="H78" s="28"/>
      <c r="I78" s="51"/>
      <c r="J78" s="72"/>
      <c r="K78" s="72"/>
      <c r="L78" s="73"/>
      <c r="M78" s="72"/>
    </row>
    <row r="79" spans="1:13" s="15" customFormat="1" ht="15" customHeight="1" x14ac:dyDescent="0.2">
      <c r="A79" s="25" t="s">
        <v>100</v>
      </c>
      <c r="B79" s="27">
        <v>12822</v>
      </c>
      <c r="C79" s="27">
        <v>101956</v>
      </c>
      <c r="D79" s="232">
        <f>(C79/B79)*100</f>
        <v>795.16456091093437</v>
      </c>
      <c r="E79" s="28"/>
      <c r="F79" s="28"/>
      <c r="G79" s="28"/>
      <c r="H79" s="187"/>
      <c r="I79" s="51"/>
      <c r="J79" s="72"/>
      <c r="K79" s="72"/>
      <c r="L79" s="73"/>
      <c r="M79" s="72"/>
    </row>
    <row r="80" spans="1:13" s="15" customFormat="1" ht="15" customHeight="1" x14ac:dyDescent="0.2">
      <c r="A80" s="251" t="s">
        <v>98</v>
      </c>
      <c r="B80" s="294">
        <v>0</v>
      </c>
      <c r="C80" s="294">
        <v>4106</v>
      </c>
      <c r="D80" s="295">
        <v>0</v>
      </c>
      <c r="E80" s="28"/>
      <c r="F80" s="28"/>
      <c r="G80" s="28"/>
      <c r="H80" s="187"/>
      <c r="I80" s="51"/>
      <c r="J80" s="72"/>
      <c r="K80" s="72"/>
      <c r="L80" s="73"/>
      <c r="M80" s="72"/>
    </row>
    <row r="81" spans="1:13" s="32" customFormat="1" ht="15" x14ac:dyDescent="0.25">
      <c r="A81" s="245" t="s">
        <v>84</v>
      </c>
      <c r="B81" s="296">
        <f>B82+B86</f>
        <v>65285</v>
      </c>
      <c r="C81" s="296">
        <f>C82+C86</f>
        <v>309501</v>
      </c>
      <c r="D81" s="297">
        <f>(C81/B81)*100</f>
        <v>474.07674044573798</v>
      </c>
      <c r="E81" s="236"/>
      <c r="F81" s="61"/>
      <c r="G81" s="61"/>
      <c r="H81" s="187"/>
      <c r="I81" s="61"/>
      <c r="J81" s="49"/>
      <c r="K81" s="71"/>
      <c r="L81" s="41"/>
      <c r="M81" s="71"/>
    </row>
    <row r="82" spans="1:13" s="29" customFormat="1" ht="14.25" x14ac:dyDescent="0.2">
      <c r="A82" s="239" t="s">
        <v>17</v>
      </c>
      <c r="B82" s="298">
        <f>B83+B84+B85</f>
        <v>65285</v>
      </c>
      <c r="C82" s="298">
        <f t="shared" ref="C82" si="10">C83+C84+C85</f>
        <v>75523</v>
      </c>
      <c r="D82" s="232">
        <f>(C82/B82)*100</f>
        <v>115.68200964999617</v>
      </c>
      <c r="E82" s="244"/>
      <c r="F82" s="244"/>
      <c r="G82" s="244"/>
      <c r="H82" s="187"/>
      <c r="I82" s="240"/>
      <c r="J82" s="49"/>
      <c r="K82" s="49"/>
      <c r="L82" s="50"/>
      <c r="M82" s="49"/>
    </row>
    <row r="83" spans="1:13" s="29" customFormat="1" ht="14.25" x14ac:dyDescent="0.2">
      <c r="A83" s="25" t="s">
        <v>100</v>
      </c>
      <c r="B83" s="27">
        <v>51610</v>
      </c>
      <c r="C83" s="27">
        <v>61478</v>
      </c>
      <c r="D83" s="232">
        <f>(C83/B83)*100</f>
        <v>119.12032551831039</v>
      </c>
      <c r="E83" s="28"/>
      <c r="F83" s="28"/>
      <c r="G83" s="28"/>
      <c r="H83" s="187"/>
      <c r="I83" s="51"/>
      <c r="J83" s="71"/>
      <c r="K83" s="49"/>
      <c r="L83" s="50"/>
      <c r="M83" s="49"/>
    </row>
    <row r="84" spans="1:13" s="29" customFormat="1" ht="14.25" hidden="1" x14ac:dyDescent="0.2">
      <c r="A84" s="25" t="s">
        <v>98</v>
      </c>
      <c r="B84" s="27">
        <v>0</v>
      </c>
      <c r="C84" s="27">
        <v>0</v>
      </c>
      <c r="D84" s="232">
        <v>0</v>
      </c>
      <c r="E84" s="28"/>
      <c r="F84" s="28"/>
      <c r="G84" s="28"/>
      <c r="H84" s="187"/>
      <c r="I84" s="51"/>
      <c r="J84" s="49"/>
      <c r="K84" s="49"/>
      <c r="L84" s="50"/>
      <c r="M84" s="49"/>
    </row>
    <row r="85" spans="1:13" s="29" customFormat="1" ht="14.25" x14ac:dyDescent="0.2">
      <c r="A85" s="233" t="s">
        <v>103</v>
      </c>
      <c r="B85" s="27">
        <v>13675</v>
      </c>
      <c r="C85" s="27">
        <v>14045</v>
      </c>
      <c r="D85" s="232">
        <f>(C85/B85)*100</f>
        <v>102.70566727605119</v>
      </c>
      <c r="E85" s="28"/>
      <c r="F85" s="28"/>
      <c r="G85" s="28"/>
      <c r="H85" s="187"/>
      <c r="I85" s="51"/>
      <c r="J85" s="49"/>
      <c r="K85" s="49"/>
      <c r="L85" s="50"/>
      <c r="M85" s="49"/>
    </row>
    <row r="86" spans="1:13" s="29" customFormat="1" ht="14.25" x14ac:dyDescent="0.2">
      <c r="A86" s="48" t="s">
        <v>18</v>
      </c>
      <c r="B86" s="298">
        <f>B87+B88</f>
        <v>0</v>
      </c>
      <c r="C86" s="298">
        <f>C87+C88</f>
        <v>233978</v>
      </c>
      <c r="D86" s="232">
        <v>0</v>
      </c>
      <c r="E86" s="244"/>
      <c r="F86" s="244"/>
      <c r="G86" s="244"/>
      <c r="H86" s="187"/>
      <c r="I86" s="240"/>
      <c r="J86" s="49"/>
      <c r="K86" s="49"/>
      <c r="L86" s="50"/>
      <c r="M86" s="49"/>
    </row>
    <row r="87" spans="1:13" s="29" customFormat="1" ht="14.25" x14ac:dyDescent="0.2">
      <c r="A87" s="25" t="s">
        <v>100</v>
      </c>
      <c r="B87" s="27">
        <v>0</v>
      </c>
      <c r="C87" s="27">
        <v>215512</v>
      </c>
      <c r="D87" s="232">
        <v>0</v>
      </c>
      <c r="E87" s="28"/>
      <c r="F87" s="28"/>
      <c r="G87" s="28"/>
      <c r="H87" s="187"/>
      <c r="I87" s="51"/>
      <c r="J87" s="49"/>
      <c r="K87" s="49"/>
      <c r="L87" s="50"/>
      <c r="M87" s="49"/>
    </row>
    <row r="88" spans="1:13" s="29" customFormat="1" ht="14.25" x14ac:dyDescent="0.2">
      <c r="A88" s="25" t="s">
        <v>98</v>
      </c>
      <c r="B88" s="27">
        <v>0</v>
      </c>
      <c r="C88" s="27">
        <v>18466</v>
      </c>
      <c r="D88" s="232">
        <v>0</v>
      </c>
      <c r="E88" s="28"/>
      <c r="F88" s="28"/>
      <c r="G88" s="28"/>
      <c r="H88" s="187"/>
      <c r="I88" s="51"/>
      <c r="J88" s="49"/>
      <c r="K88" s="49"/>
      <c r="L88" s="50"/>
      <c r="M88" s="49"/>
    </row>
    <row r="89" spans="1:13" s="32" customFormat="1" ht="15" customHeight="1" x14ac:dyDescent="0.25">
      <c r="A89" s="285" t="s">
        <v>85</v>
      </c>
      <c r="B89" s="299">
        <f>B90</f>
        <v>0</v>
      </c>
      <c r="C89" s="299">
        <f>C90</f>
        <v>0</v>
      </c>
      <c r="D89" s="300">
        <v>0</v>
      </c>
      <c r="E89" s="24"/>
      <c r="F89" s="28"/>
      <c r="G89" s="28"/>
      <c r="H89" s="28"/>
      <c r="I89" s="61"/>
      <c r="J89" s="71"/>
      <c r="K89" s="71"/>
      <c r="L89" s="41"/>
      <c r="M89" s="71"/>
    </row>
    <row r="90" spans="1:13" s="32" customFormat="1" ht="15" customHeight="1" x14ac:dyDescent="0.25">
      <c r="A90" s="251" t="s">
        <v>100</v>
      </c>
      <c r="B90" s="294">
        <v>0</v>
      </c>
      <c r="C90" s="294">
        <v>0</v>
      </c>
      <c r="D90" s="295">
        <v>0</v>
      </c>
      <c r="E90" s="24"/>
      <c r="F90" s="28"/>
      <c r="G90" s="28"/>
      <c r="H90" s="28"/>
      <c r="I90" s="61"/>
      <c r="J90" s="71"/>
      <c r="K90" s="71"/>
      <c r="L90" s="41"/>
      <c r="M90" s="71"/>
    </row>
    <row r="91" spans="1:13" s="32" customFormat="1" ht="15" x14ac:dyDescent="0.25">
      <c r="A91" s="235" t="s">
        <v>108</v>
      </c>
      <c r="B91" s="292">
        <f>B92+B93</f>
        <v>313040</v>
      </c>
      <c r="C91" s="292">
        <f>C92+C93</f>
        <v>363025</v>
      </c>
      <c r="D91" s="293">
        <f>(C91/B91)*100</f>
        <v>115.96760797342193</v>
      </c>
      <c r="E91" s="236"/>
      <c r="F91" s="24"/>
      <c r="G91" s="24"/>
      <c r="H91" s="187"/>
      <c r="I91" s="61"/>
      <c r="J91" s="71"/>
      <c r="K91" s="71"/>
      <c r="L91" s="41"/>
      <c r="M91" s="71"/>
    </row>
    <row r="92" spans="1:13" s="32" customFormat="1" ht="14.25" x14ac:dyDescent="0.2">
      <c r="A92" s="25" t="s">
        <v>100</v>
      </c>
      <c r="B92" s="27">
        <v>25791</v>
      </c>
      <c r="C92" s="27">
        <v>32395</v>
      </c>
      <c r="D92" s="232">
        <f>(C92/B92)*100</f>
        <v>125.6058314916056</v>
      </c>
      <c r="E92" s="28"/>
      <c r="F92" s="28"/>
      <c r="G92" s="28"/>
      <c r="H92" s="187"/>
      <c r="I92" s="51"/>
      <c r="J92" s="71"/>
      <c r="K92" s="246"/>
      <c r="L92" s="41"/>
      <c r="M92" s="71"/>
    </row>
    <row r="93" spans="1:13" s="32" customFormat="1" ht="14.25" x14ac:dyDescent="0.2">
      <c r="A93" s="251" t="s">
        <v>98</v>
      </c>
      <c r="B93" s="294">
        <v>287249</v>
      </c>
      <c r="C93" s="294">
        <v>330630</v>
      </c>
      <c r="D93" s="295">
        <f>(C93/B93)*100</f>
        <v>115.10222838025545</v>
      </c>
      <c r="E93" s="28"/>
      <c r="F93" s="28"/>
      <c r="G93" s="28"/>
      <c r="H93" s="187"/>
      <c r="I93" s="51"/>
      <c r="J93" s="71"/>
      <c r="K93" s="247"/>
      <c r="L93" s="41"/>
      <c r="M93" s="71"/>
    </row>
    <row r="94" spans="1:13" s="32" customFormat="1" ht="15" customHeight="1" x14ac:dyDescent="0.25">
      <c r="A94" s="248" t="s">
        <v>109</v>
      </c>
      <c r="B94" s="296">
        <f>B95+B96+B97</f>
        <v>92256</v>
      </c>
      <c r="C94" s="296">
        <f>C95+C96+C97</f>
        <v>127883</v>
      </c>
      <c r="D94" s="297">
        <f>(C94/B94)*100</f>
        <v>138.61754249046132</v>
      </c>
      <c r="E94" s="28"/>
      <c r="F94" s="28"/>
      <c r="G94" s="28"/>
      <c r="H94" s="41"/>
      <c r="I94" s="51"/>
      <c r="J94" s="71"/>
      <c r="K94" s="43"/>
      <c r="L94" s="41"/>
      <c r="M94" s="71"/>
    </row>
    <row r="95" spans="1:13" s="32" customFormat="1" ht="14.25" x14ac:dyDescent="0.2">
      <c r="A95" s="25" t="s">
        <v>100</v>
      </c>
      <c r="B95" s="27">
        <v>72656</v>
      </c>
      <c r="C95" s="27">
        <v>80703</v>
      </c>
      <c r="D95" s="232">
        <f>(C95/B95)*100</f>
        <v>111.07547896939001</v>
      </c>
      <c r="E95" s="28"/>
      <c r="F95" s="28"/>
      <c r="G95" s="28"/>
      <c r="H95" s="187"/>
      <c r="I95" s="51"/>
      <c r="J95" s="71"/>
      <c r="K95" s="246"/>
      <c r="L95" s="41"/>
      <c r="M95" s="71"/>
    </row>
    <row r="96" spans="1:13" s="32" customFormat="1" ht="14.25" x14ac:dyDescent="0.2">
      <c r="A96" s="25" t="s">
        <v>98</v>
      </c>
      <c r="B96" s="27">
        <v>0</v>
      </c>
      <c r="C96" s="27">
        <v>14632</v>
      </c>
      <c r="D96" s="232">
        <v>0</v>
      </c>
      <c r="E96" s="28"/>
      <c r="F96" s="28"/>
      <c r="G96" s="28"/>
      <c r="H96" s="50"/>
      <c r="I96" s="51"/>
      <c r="J96" s="71"/>
      <c r="K96" s="247"/>
      <c r="L96" s="41"/>
      <c r="M96" s="71"/>
    </row>
    <row r="97" spans="1:13" s="32" customFormat="1" ht="14.25" x14ac:dyDescent="0.2">
      <c r="A97" s="234" t="s">
        <v>103</v>
      </c>
      <c r="B97" s="294">
        <v>19600</v>
      </c>
      <c r="C97" s="294">
        <v>32548</v>
      </c>
      <c r="D97" s="295">
        <f t="shared" ref="D97:D108" si="11">(C97/B97)*100</f>
        <v>166.06122448979593</v>
      </c>
      <c r="E97" s="28"/>
      <c r="F97" s="28"/>
      <c r="G97" s="28"/>
      <c r="H97" s="28"/>
      <c r="I97" s="51"/>
      <c r="J97" s="71"/>
      <c r="K97" s="43"/>
      <c r="L97" s="41"/>
      <c r="M97" s="71"/>
    </row>
    <row r="98" spans="1:13" s="32" customFormat="1" ht="15" customHeight="1" x14ac:dyDescent="0.25">
      <c r="A98" s="287" t="s">
        <v>86</v>
      </c>
      <c r="B98" s="296">
        <f>B99+B101</f>
        <v>3582306</v>
      </c>
      <c r="C98" s="296">
        <f>C99+C101</f>
        <v>2125187</v>
      </c>
      <c r="D98" s="297">
        <f t="shared" si="11"/>
        <v>59.324552397254728</v>
      </c>
      <c r="E98" s="28"/>
      <c r="F98" s="28"/>
      <c r="G98" s="28"/>
      <c r="H98" s="41"/>
      <c r="I98" s="51"/>
      <c r="J98" s="71"/>
      <c r="K98" s="43"/>
      <c r="L98" s="41"/>
      <c r="M98" s="71"/>
    </row>
    <row r="99" spans="1:13" s="32" customFormat="1" ht="14.25" x14ac:dyDescent="0.2">
      <c r="A99" s="239" t="s">
        <v>17</v>
      </c>
      <c r="B99" s="298">
        <f>B100</f>
        <v>70485</v>
      </c>
      <c r="C99" s="298">
        <f t="shared" ref="C99" si="12">C100</f>
        <v>34300</v>
      </c>
      <c r="D99" s="301">
        <f t="shared" si="11"/>
        <v>48.662836064410868</v>
      </c>
      <c r="E99" s="28"/>
      <c r="F99" s="28"/>
      <c r="G99" s="28"/>
      <c r="H99" s="41"/>
      <c r="I99" s="51"/>
      <c r="J99" s="71"/>
      <c r="K99" s="43"/>
      <c r="L99" s="41"/>
      <c r="M99" s="71"/>
    </row>
    <row r="100" spans="1:13" s="32" customFormat="1" ht="14.25" x14ac:dyDescent="0.2">
      <c r="A100" s="25" t="s">
        <v>100</v>
      </c>
      <c r="B100" s="27">
        <v>70485</v>
      </c>
      <c r="C100" s="27">
        <v>34300</v>
      </c>
      <c r="D100" s="301">
        <f t="shared" si="11"/>
        <v>48.662836064410868</v>
      </c>
      <c r="E100" s="28"/>
      <c r="F100" s="28"/>
      <c r="G100" s="28"/>
      <c r="H100" s="41"/>
      <c r="I100" s="51"/>
      <c r="J100" s="71"/>
      <c r="K100" s="43"/>
      <c r="L100" s="41"/>
      <c r="M100" s="71"/>
    </row>
    <row r="101" spans="1:13" s="32" customFormat="1" ht="14.25" x14ac:dyDescent="0.2">
      <c r="A101" s="48" t="s">
        <v>18</v>
      </c>
      <c r="B101" s="298">
        <f>B102+B103</f>
        <v>3511821</v>
      </c>
      <c r="C101" s="298">
        <f>C102+C103</f>
        <v>2090887</v>
      </c>
      <c r="D101" s="301">
        <f t="shared" si="11"/>
        <v>59.538541400600998</v>
      </c>
      <c r="E101" s="28"/>
      <c r="F101" s="28"/>
      <c r="G101" s="28"/>
      <c r="H101" s="41"/>
      <c r="I101" s="51"/>
      <c r="J101" s="71"/>
      <c r="K101" s="43"/>
      <c r="L101" s="41"/>
      <c r="M101" s="71"/>
    </row>
    <row r="102" spans="1:13" s="32" customFormat="1" ht="14.25" x14ac:dyDescent="0.2">
      <c r="A102" s="25" t="s">
        <v>100</v>
      </c>
      <c r="B102" s="27">
        <v>3455458</v>
      </c>
      <c r="C102" s="27">
        <v>2058888</v>
      </c>
      <c r="D102" s="301">
        <f t="shared" si="11"/>
        <v>59.583649982144195</v>
      </c>
      <c r="E102" s="28"/>
      <c r="F102" s="28"/>
      <c r="G102" s="28"/>
      <c r="H102" s="41"/>
      <c r="I102" s="51"/>
      <c r="J102" s="71"/>
      <c r="K102" s="43"/>
      <c r="L102" s="41"/>
      <c r="M102" s="71"/>
    </row>
    <row r="103" spans="1:13" s="32" customFormat="1" ht="14.25" x14ac:dyDescent="0.2">
      <c r="A103" s="251" t="s">
        <v>98</v>
      </c>
      <c r="B103" s="294">
        <v>56363</v>
      </c>
      <c r="C103" s="294">
        <v>31999</v>
      </c>
      <c r="D103" s="301">
        <f t="shared" si="11"/>
        <v>56.773060341003841</v>
      </c>
      <c r="E103" s="28"/>
      <c r="F103" s="28"/>
      <c r="G103" s="28"/>
      <c r="H103" s="41"/>
      <c r="I103" s="51"/>
      <c r="J103" s="71"/>
      <c r="K103" s="43"/>
      <c r="L103" s="41"/>
      <c r="M103" s="71"/>
    </row>
    <row r="104" spans="1:13" s="32" customFormat="1" ht="15" x14ac:dyDescent="0.25">
      <c r="A104" s="235" t="s">
        <v>87</v>
      </c>
      <c r="B104" s="296">
        <f>B105</f>
        <v>513</v>
      </c>
      <c r="C104" s="296">
        <f>C105</f>
        <v>513</v>
      </c>
      <c r="D104" s="293">
        <f t="shared" si="11"/>
        <v>100</v>
      </c>
      <c r="E104" s="28"/>
      <c r="F104" s="28"/>
      <c r="G104" s="28"/>
      <c r="H104" s="41"/>
      <c r="I104" s="51"/>
      <c r="J104" s="71"/>
      <c r="K104" s="43"/>
      <c r="L104" s="41"/>
      <c r="M104" s="71"/>
    </row>
    <row r="105" spans="1:13" s="32" customFormat="1" ht="14.25" customHeight="1" x14ac:dyDescent="0.2">
      <c r="A105" s="251" t="s">
        <v>100</v>
      </c>
      <c r="B105" s="294">
        <v>513</v>
      </c>
      <c r="C105" s="294">
        <v>513</v>
      </c>
      <c r="D105" s="302">
        <f t="shared" si="11"/>
        <v>100</v>
      </c>
      <c r="E105" s="28"/>
      <c r="F105" s="28"/>
      <c r="G105" s="28"/>
      <c r="H105" s="41"/>
      <c r="I105" s="51"/>
      <c r="J105" s="71"/>
      <c r="K105" s="43"/>
      <c r="L105" s="41"/>
      <c r="M105" s="71"/>
    </row>
    <row r="106" spans="1:13" s="32" customFormat="1" ht="15" x14ac:dyDescent="0.25">
      <c r="A106" s="245" t="s">
        <v>120</v>
      </c>
      <c r="B106" s="296">
        <f>SUM(B107:B109)</f>
        <v>682207</v>
      </c>
      <c r="C106" s="296">
        <f>SUM(C107:C109)</f>
        <v>1664481</v>
      </c>
      <c r="D106" s="297">
        <f t="shared" si="11"/>
        <v>243.9847436335306</v>
      </c>
      <c r="E106" s="24"/>
      <c r="F106" s="24"/>
      <c r="G106" s="24"/>
      <c r="H106" s="187"/>
      <c r="I106" s="61"/>
      <c r="J106" s="71"/>
      <c r="K106" s="71"/>
      <c r="L106" s="41"/>
      <c r="M106" s="71"/>
    </row>
    <row r="107" spans="1:13" s="32" customFormat="1" ht="14.25" x14ac:dyDescent="0.2">
      <c r="A107" s="25" t="s">
        <v>100</v>
      </c>
      <c r="B107" s="27">
        <v>24538</v>
      </c>
      <c r="C107" s="27">
        <v>188533</v>
      </c>
      <c r="D107" s="232">
        <f t="shared" si="11"/>
        <v>768.3307523025511</v>
      </c>
      <c r="E107" s="28"/>
      <c r="F107" s="28"/>
      <c r="G107" s="28"/>
      <c r="H107" s="187"/>
      <c r="I107" s="51"/>
      <c r="J107" s="71"/>
      <c r="K107" s="71"/>
      <c r="L107" s="41"/>
      <c r="M107" s="71"/>
    </row>
    <row r="108" spans="1:13" s="32" customFormat="1" ht="14.25" x14ac:dyDescent="0.2">
      <c r="A108" s="25" t="s">
        <v>98</v>
      </c>
      <c r="B108" s="27">
        <v>657669</v>
      </c>
      <c r="C108" s="27">
        <v>820007</v>
      </c>
      <c r="D108" s="232">
        <f t="shared" si="11"/>
        <v>124.68384552107518</v>
      </c>
      <c r="E108" s="28"/>
      <c r="F108" s="28"/>
      <c r="G108" s="28"/>
      <c r="H108" s="187"/>
      <c r="I108" s="51"/>
      <c r="J108" s="71"/>
      <c r="K108" s="71"/>
      <c r="L108" s="41"/>
      <c r="M108" s="71"/>
    </row>
    <row r="109" spans="1:13" s="32" customFormat="1" ht="14.25" x14ac:dyDescent="0.2">
      <c r="A109" s="233" t="s">
        <v>99</v>
      </c>
      <c r="B109" s="27">
        <v>0</v>
      </c>
      <c r="C109" s="27">
        <f>455941+200000</f>
        <v>655941</v>
      </c>
      <c r="D109" s="295">
        <v>0</v>
      </c>
      <c r="E109" s="28"/>
      <c r="F109" s="28"/>
      <c r="G109" s="28"/>
      <c r="H109" s="187"/>
      <c r="I109" s="51"/>
      <c r="J109" s="71"/>
      <c r="K109" s="71"/>
      <c r="L109" s="41"/>
      <c r="M109" s="71"/>
    </row>
    <row r="110" spans="1:13" s="32" customFormat="1" ht="15" x14ac:dyDescent="0.25">
      <c r="A110" s="261" t="s">
        <v>88</v>
      </c>
      <c r="B110" s="292">
        <f>B111+B112</f>
        <v>34300</v>
      </c>
      <c r="C110" s="292">
        <f>C111+C112</f>
        <v>41173</v>
      </c>
      <c r="D110" s="297">
        <f>(C110/B110)*100</f>
        <v>120.03790087463557</v>
      </c>
      <c r="E110" s="28"/>
      <c r="F110" s="28"/>
      <c r="G110" s="28"/>
      <c r="H110" s="187"/>
      <c r="I110" s="61"/>
      <c r="J110" s="71"/>
      <c r="K110" s="71"/>
      <c r="L110" s="41"/>
      <c r="M110" s="71"/>
    </row>
    <row r="111" spans="1:13" s="32" customFormat="1" ht="14.25" x14ac:dyDescent="0.2">
      <c r="A111" s="25" t="s">
        <v>100</v>
      </c>
      <c r="B111" s="27">
        <v>0</v>
      </c>
      <c r="C111" s="27">
        <v>0</v>
      </c>
      <c r="D111" s="232">
        <v>0</v>
      </c>
      <c r="E111" s="28"/>
      <c r="F111" s="28"/>
      <c r="G111" s="28"/>
      <c r="H111" s="187"/>
      <c r="I111" s="51"/>
      <c r="J111" s="71"/>
      <c r="K111" s="71"/>
      <c r="L111" s="41"/>
      <c r="M111" s="71"/>
    </row>
    <row r="112" spans="1:13" s="32" customFormat="1" ht="14.25" x14ac:dyDescent="0.2">
      <c r="A112" s="234" t="s">
        <v>103</v>
      </c>
      <c r="B112" s="294">
        <v>34300</v>
      </c>
      <c r="C112" s="294">
        <v>41173</v>
      </c>
      <c r="D112" s="295">
        <f t="shared" ref="D112:D117" si="13">(C112/B112)*100</f>
        <v>120.03790087463557</v>
      </c>
      <c r="E112" s="28"/>
      <c r="F112" s="28"/>
      <c r="G112" s="28"/>
      <c r="H112" s="187"/>
      <c r="I112" s="51"/>
      <c r="J112" s="71"/>
      <c r="K112" s="249"/>
      <c r="L112" s="41"/>
      <c r="M112" s="71"/>
    </row>
    <row r="113" spans="1:13" s="32" customFormat="1" ht="15" x14ac:dyDescent="0.25">
      <c r="A113" s="250" t="s">
        <v>89</v>
      </c>
      <c r="B113" s="296">
        <f>B114</f>
        <v>11062</v>
      </c>
      <c r="C113" s="296">
        <f>C114</f>
        <v>15575</v>
      </c>
      <c r="D113" s="297">
        <f t="shared" si="13"/>
        <v>140.79732417284396</v>
      </c>
      <c r="E113" s="28"/>
      <c r="F113" s="28"/>
      <c r="G113" s="28"/>
      <c r="H113" s="187"/>
      <c r="I113" s="61"/>
      <c r="J113" s="40"/>
      <c r="K113" s="71"/>
      <c r="L113" s="41"/>
      <c r="M113" s="71"/>
    </row>
    <row r="114" spans="1:13" s="32" customFormat="1" ht="14.25" x14ac:dyDescent="0.2">
      <c r="A114" s="25" t="s">
        <v>100</v>
      </c>
      <c r="B114" s="27">
        <v>11062</v>
      </c>
      <c r="C114" s="27">
        <v>15575</v>
      </c>
      <c r="D114" s="232">
        <f t="shared" si="13"/>
        <v>140.79732417284396</v>
      </c>
      <c r="E114" s="28"/>
      <c r="F114" s="28"/>
      <c r="G114" s="28"/>
      <c r="H114" s="187"/>
      <c r="I114" s="51"/>
      <c r="J114" s="40"/>
      <c r="K114" s="41"/>
      <c r="L114" s="41"/>
      <c r="M114" s="71"/>
    </row>
    <row r="115" spans="1:13" s="15" customFormat="1" ht="21.75" customHeight="1" x14ac:dyDescent="0.25">
      <c r="A115" s="288" t="s">
        <v>19</v>
      </c>
      <c r="B115" s="80">
        <f>B113+B110+B106+B104+B98+B94+B91+B89+B81+B73+B61+B54+B45+B40+B36+B32+B29+B26+B22+B18</f>
        <v>5967109</v>
      </c>
      <c r="C115" s="80">
        <f>C113+C110+C106+C104+C98+C94+C91+C89+C81+C73+C61+C54+C45+C40+C36+C32+C29+C26+C22+C18</f>
        <v>38726328</v>
      </c>
      <c r="D115" s="77">
        <f t="shared" si="13"/>
        <v>648.99649059536205</v>
      </c>
      <c r="E115" s="119"/>
      <c r="F115" s="83"/>
      <c r="G115" s="83"/>
      <c r="H115" s="83"/>
      <c r="I115" s="105"/>
      <c r="J115" s="40"/>
      <c r="K115" s="72"/>
      <c r="L115" s="73"/>
      <c r="M115" s="72"/>
    </row>
    <row r="116" spans="1:13" s="15" customFormat="1" ht="21" customHeight="1" x14ac:dyDescent="0.2">
      <c r="A116" s="120" t="s">
        <v>118</v>
      </c>
      <c r="B116" s="27">
        <f>B12</f>
        <v>11058</v>
      </c>
      <c r="C116" s="27">
        <f>C109+C35+C25+C21</f>
        <v>18526750</v>
      </c>
      <c r="D116" s="78">
        <f t="shared" si="13"/>
        <v>167541.59884246698</v>
      </c>
      <c r="E116" s="28"/>
      <c r="F116" s="289"/>
      <c r="G116" s="82"/>
      <c r="H116" s="82"/>
      <c r="I116" s="62"/>
      <c r="J116" s="40"/>
      <c r="K116" s="72"/>
      <c r="L116" s="73"/>
      <c r="M116" s="72"/>
    </row>
    <row r="117" spans="1:13" s="15" customFormat="1" ht="18.75" thickBot="1" x14ac:dyDescent="0.3">
      <c r="A117" s="121" t="s">
        <v>82</v>
      </c>
      <c r="B117" s="79">
        <f>B115-B116</f>
        <v>5956051</v>
      </c>
      <c r="C117" s="79">
        <f>C115-C116</f>
        <v>20199578</v>
      </c>
      <c r="D117" s="76">
        <f t="shared" si="13"/>
        <v>339.14380518232633</v>
      </c>
      <c r="E117" s="119"/>
      <c r="F117" s="1">
        <f>C117-C13</f>
        <v>-140432</v>
      </c>
      <c r="G117" s="24"/>
      <c r="H117" s="69"/>
      <c r="I117" s="66"/>
      <c r="J117" s="38"/>
      <c r="K117" s="72"/>
      <c r="L117" s="73"/>
      <c r="M117" s="72"/>
    </row>
    <row r="118" spans="1:13" s="15" customFormat="1" ht="18.75" customHeight="1" thickTop="1" x14ac:dyDescent="0.25">
      <c r="D118" s="118"/>
      <c r="E118" s="24"/>
      <c r="F118" s="1"/>
      <c r="G118" s="24"/>
      <c r="H118" s="69"/>
      <c r="I118" s="66"/>
      <c r="J118" s="38"/>
      <c r="K118" s="72"/>
      <c r="L118" s="73"/>
      <c r="M118" s="72"/>
    </row>
    <row r="119" spans="1:13" x14ac:dyDescent="0.2">
      <c r="B119" s="163"/>
    </row>
    <row r="120" spans="1:13" ht="17.25" thickBot="1" x14ac:dyDescent="0.3">
      <c r="A120" s="273" t="s">
        <v>93</v>
      </c>
      <c r="B120" s="168"/>
      <c r="C120" s="164"/>
      <c r="D120" s="279" t="s">
        <v>0</v>
      </c>
    </row>
    <row r="121" spans="1:13" ht="36" customHeight="1" thickTop="1" thickBot="1" x14ac:dyDescent="0.25">
      <c r="A121" s="258" t="s">
        <v>73</v>
      </c>
      <c r="B121" s="262" t="s">
        <v>123</v>
      </c>
      <c r="C121" s="262" t="s">
        <v>124</v>
      </c>
      <c r="D121" s="259" t="s">
        <v>5</v>
      </c>
      <c r="E121" s="12"/>
    </row>
    <row r="122" spans="1:13" ht="14.25" thickTop="1" thickBot="1" x14ac:dyDescent="0.25">
      <c r="A122" s="268">
        <v>1</v>
      </c>
      <c r="B122" s="255">
        <v>2</v>
      </c>
      <c r="C122" s="255">
        <v>3</v>
      </c>
      <c r="D122" s="256" t="s">
        <v>90</v>
      </c>
      <c r="E122" s="12"/>
    </row>
    <row r="123" spans="1:13" ht="15" hidden="1" thickTop="1" x14ac:dyDescent="0.2">
      <c r="A123" s="280" t="s">
        <v>101</v>
      </c>
      <c r="B123" s="227">
        <v>0</v>
      </c>
      <c r="C123" s="228">
        <v>0</v>
      </c>
      <c r="D123" s="74">
        <v>0</v>
      </c>
      <c r="E123" s="12"/>
    </row>
    <row r="124" spans="1:13" ht="15" thickTop="1" x14ac:dyDescent="0.2">
      <c r="A124" s="282" t="s">
        <v>104</v>
      </c>
      <c r="B124" s="218">
        <v>0</v>
      </c>
      <c r="C124" s="219">
        <v>-52979</v>
      </c>
      <c r="D124" s="224">
        <v>0</v>
      </c>
      <c r="E124" s="12"/>
    </row>
    <row r="125" spans="1:13" ht="25.5" x14ac:dyDescent="0.2">
      <c r="A125" s="281" t="s">
        <v>107</v>
      </c>
      <c r="B125" s="229">
        <v>121000</v>
      </c>
      <c r="C125" s="226">
        <f>-551308+884146</f>
        <v>332838</v>
      </c>
      <c r="D125" s="224">
        <f>(C125/B125)*100</f>
        <v>275.07272727272726</v>
      </c>
      <c r="E125" s="12"/>
    </row>
    <row r="126" spans="1:13" ht="14.25" hidden="1" x14ac:dyDescent="0.2">
      <c r="A126" s="282" t="s">
        <v>116</v>
      </c>
      <c r="B126" s="229">
        <v>0</v>
      </c>
      <c r="C126" s="226"/>
      <c r="D126" s="224">
        <v>0</v>
      </c>
      <c r="E126" s="12"/>
    </row>
    <row r="127" spans="1:13" ht="14.25" hidden="1" x14ac:dyDescent="0.2">
      <c r="A127" s="282" t="s">
        <v>121</v>
      </c>
      <c r="B127" s="229">
        <v>0</v>
      </c>
      <c r="C127" s="226"/>
      <c r="D127" s="224">
        <v>0</v>
      </c>
      <c r="E127" s="12"/>
    </row>
    <row r="128" spans="1:13" ht="14.25" x14ac:dyDescent="0.2">
      <c r="A128" s="283" t="s">
        <v>117</v>
      </c>
      <c r="B128" s="229">
        <v>500000</v>
      </c>
      <c r="C128" s="226">
        <v>300000</v>
      </c>
      <c r="D128" s="224">
        <v>0</v>
      </c>
      <c r="E128" s="12"/>
    </row>
    <row r="129" spans="1:6" ht="14.25" x14ac:dyDescent="0.2">
      <c r="A129" s="283" t="s">
        <v>105</v>
      </c>
      <c r="B129" s="218">
        <v>-334849</v>
      </c>
      <c r="C129" s="219">
        <f>-334849-15735-31202-150000</f>
        <v>-531786</v>
      </c>
      <c r="D129" s="224">
        <f>(C129/B129)*100</f>
        <v>158.81367422330663</v>
      </c>
      <c r="E129" s="12"/>
    </row>
    <row r="130" spans="1:6" ht="14.25" customHeight="1" x14ac:dyDescent="0.2">
      <c r="A130" s="283" t="s">
        <v>106</v>
      </c>
      <c r="B130" s="218">
        <v>-186492</v>
      </c>
      <c r="C130" s="219">
        <v>-186492</v>
      </c>
      <c r="D130" s="224">
        <f>(C130/B130)*100</f>
        <v>100</v>
      </c>
      <c r="E130" s="12"/>
    </row>
    <row r="131" spans="1:6" ht="14.25" customHeight="1" x14ac:dyDescent="0.2">
      <c r="A131" s="284" t="s">
        <v>102</v>
      </c>
      <c r="B131" s="290">
        <v>0</v>
      </c>
      <c r="C131" s="291">
        <v>-2013</v>
      </c>
      <c r="D131" s="252">
        <v>0</v>
      </c>
      <c r="E131" s="12"/>
    </row>
    <row r="132" spans="1:6" ht="18.75" thickBot="1" x14ac:dyDescent="0.3">
      <c r="A132" s="225" t="s">
        <v>74</v>
      </c>
      <c r="B132" s="79">
        <f>SUM(B123:B131)</f>
        <v>99659</v>
      </c>
      <c r="C132" s="79">
        <f>SUM(C123:C131)</f>
        <v>-140432</v>
      </c>
      <c r="D132" s="76">
        <f>(C132/B132)*100</f>
        <v>-140.9125116647769</v>
      </c>
      <c r="E132" s="12"/>
    </row>
    <row r="133" spans="1:6" ht="13.5" thickTop="1" x14ac:dyDescent="0.2">
      <c r="A133" s="216"/>
      <c r="B133" s="217"/>
      <c r="C133" s="217"/>
      <c r="D133" s="12"/>
      <c r="E133" s="12"/>
    </row>
    <row r="134" spans="1:6" ht="15" customHeight="1" x14ac:dyDescent="0.2">
      <c r="A134" s="311" t="s">
        <v>119</v>
      </c>
      <c r="B134" s="311"/>
      <c r="C134" s="311"/>
      <c r="D134" s="311"/>
      <c r="E134" s="12"/>
    </row>
    <row r="135" spans="1:6" ht="21.75" customHeight="1" x14ac:dyDescent="0.2">
      <c r="B135" s="253"/>
      <c r="C135" s="253"/>
    </row>
    <row r="136" spans="1:6" ht="28.5" customHeight="1" x14ac:dyDescent="0.25">
      <c r="A136" s="308" t="s">
        <v>125</v>
      </c>
      <c r="B136" s="309">
        <f>SUM(B13,B123:B128)</f>
        <v>6477392</v>
      </c>
      <c r="C136" s="309">
        <f>SUM(C13,C125:C128)</f>
        <v>20972848</v>
      </c>
      <c r="D136" s="309"/>
      <c r="E136" s="309"/>
      <c r="F136" s="309"/>
    </row>
    <row r="137" spans="1:6" ht="15.75" x14ac:dyDescent="0.25">
      <c r="A137" s="308" t="s">
        <v>126</v>
      </c>
      <c r="B137" s="309">
        <f>B117-B129-B130</f>
        <v>6477392</v>
      </c>
      <c r="C137" s="309">
        <f>C117-C129-C130-C131-C124</f>
        <v>20972848</v>
      </c>
      <c r="D137" s="309"/>
      <c r="E137" s="309"/>
      <c r="F137" s="309"/>
    </row>
    <row r="138" spans="1:6" ht="15.75" x14ac:dyDescent="0.25">
      <c r="A138" s="308" t="s">
        <v>127</v>
      </c>
      <c r="B138" s="309">
        <f>B137-B136</f>
        <v>0</v>
      </c>
      <c r="C138" s="309">
        <f>C137-C136</f>
        <v>0</v>
      </c>
      <c r="D138" s="309"/>
      <c r="E138" s="309"/>
      <c r="F138" s="309"/>
    </row>
  </sheetData>
  <mergeCells count="2">
    <mergeCell ref="A1:D1"/>
    <mergeCell ref="A134:D134"/>
  </mergeCells>
  <phoneticPr fontId="5" type="noConversion"/>
  <pageMargins left="0.98425196850393704" right="0" top="0.98425196850393704" bottom="0.98425196850393704" header="0.51181102362204722" footer="0.51181102362204722"/>
  <pageSetup paperSize="9" scale="66" firstPageNumber="170" orientation="portrait" cellComments="asDisplayed" useFirstPageNumber="1" r:id="rId1"/>
  <headerFooter alignWithMargins="0">
    <oddFooter>&amp;L&amp;"Arial CE,Kurzíva"Zastupitelstvo  Olomouckého kraje 13-12-2021
13. - Rozpočet Olomouckého kraje 2022 - návrh rozpočtu
Příloha č. 6) Očekávané plnění rozpočtu Olomouckého kraje k 31. 12. 2021&amp;R&amp;"Arial CE,Kurzíva"Strana &amp;P (Celkem 176)</oddFooter>
  </headerFooter>
  <rowBreaks count="1" manualBreakCount="1">
    <brk id="69" max="5" man="1"/>
  </rowBreaks>
  <ignoredErrors>
    <ignoredError sqref="B11 B1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12" t="s">
        <v>62</v>
      </c>
      <c r="B1" s="313"/>
      <c r="C1" s="313"/>
      <c r="D1" s="313"/>
      <c r="E1" s="313"/>
      <c r="F1" s="313"/>
      <c r="G1" s="170"/>
      <c r="H1" s="170"/>
      <c r="I1" s="170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5" hidden="1" thickTop="1" x14ac:dyDescent="0.2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5" hidden="1" thickTop="1" x14ac:dyDescent="0.2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5.75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5" hidden="1" thickTop="1" x14ac:dyDescent="0.2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5" hidden="1" thickTop="1" x14ac:dyDescent="0.2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5.75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5" hidden="1" thickTop="1" x14ac:dyDescent="0.2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2.75" x14ac:dyDescent="0.2">
      <c r="A29" s="314"/>
      <c r="B29" s="315"/>
      <c r="C29" s="315"/>
      <c r="D29" s="315"/>
      <c r="E29" s="315"/>
      <c r="F29" s="315"/>
      <c r="G29" s="58"/>
      <c r="H29" s="58"/>
      <c r="I29" s="58"/>
      <c r="J29" s="64"/>
      <c r="K29" s="59"/>
      <c r="L29" s="174"/>
      <c r="N29" s="73"/>
    </row>
    <row r="30" spans="1:14" s="72" customFormat="1" ht="12.75" x14ac:dyDescent="0.2">
      <c r="A30" s="315"/>
      <c r="B30" s="315"/>
      <c r="C30" s="315"/>
      <c r="D30" s="315"/>
      <c r="E30" s="315"/>
      <c r="F30" s="315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idden="1" x14ac:dyDescent="0.2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ht="15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2.75" x14ac:dyDescent="0.2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2.75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">
      <c r="A48" s="316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">
      <c r="A49" s="316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ht="15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24</v>
      </c>
      <c r="C3" s="96" t="s">
        <v>25</v>
      </c>
    </row>
    <row r="4" spans="1:3" x14ac:dyDescent="0.2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30</v>
      </c>
      <c r="C32" s="96" t="s">
        <v>31</v>
      </c>
    </row>
    <row r="33" spans="1:3" x14ac:dyDescent="0.2">
      <c r="A33" s="96" t="s">
        <v>10</v>
      </c>
      <c r="B33" s="96" t="e">
        <f>'Očekávané plnění k 31.12.2021'!#REF!</f>
        <v>#REF!</v>
      </c>
      <c r="C33" s="96" t="e">
        <f>#REF!</f>
        <v>#REF!</v>
      </c>
    </row>
    <row r="34" spans="1:3" x14ac:dyDescent="0.2">
      <c r="A34" s="96" t="s">
        <v>11</v>
      </c>
      <c r="B34" s="96" t="e">
        <f>'Očekávané plnění k 31.12.2021'!#REF!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31.12.2021'!#REF!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0">
        <v>8115</v>
      </c>
    </row>
    <row r="3" spans="1:6" x14ac:dyDescent="0.2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">
      <c r="C4" s="124"/>
      <c r="D4" s="124">
        <v>97035000</v>
      </c>
      <c r="E4" t="s">
        <v>45</v>
      </c>
      <c r="F4" t="s">
        <v>48</v>
      </c>
    </row>
    <row r="5" spans="1:6" x14ac:dyDescent="0.2">
      <c r="C5" s="124"/>
      <c r="D5" s="124">
        <v>23237000</v>
      </c>
      <c r="E5" t="s">
        <v>46</v>
      </c>
      <c r="F5" t="s">
        <v>48</v>
      </c>
    </row>
    <row r="6" spans="1:6" x14ac:dyDescent="0.2">
      <c r="C6" s="124"/>
    </row>
    <row r="8" spans="1:6" x14ac:dyDescent="0.2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">
      <c r="A39" s="126"/>
      <c r="C39" s="132"/>
      <c r="F39" s="124"/>
      <c r="G39" s="124"/>
    </row>
    <row r="40" spans="1:7" x14ac:dyDescent="0.2">
      <c r="A40" s="126"/>
      <c r="C40" s="132"/>
      <c r="F40" s="124"/>
      <c r="G40" s="124"/>
    </row>
    <row r="41" spans="1:7" x14ac:dyDescent="0.2">
      <c r="A41" s="126"/>
      <c r="C41" s="132"/>
      <c r="F41" s="124"/>
      <c r="G41" s="124"/>
    </row>
    <row r="42" spans="1:7" x14ac:dyDescent="0.2">
      <c r="A42" s="126"/>
      <c r="C42" s="132"/>
      <c r="F42" s="124"/>
      <c r="G42" s="124"/>
    </row>
    <row r="43" spans="1:7" x14ac:dyDescent="0.2">
      <c r="A43" s="126"/>
      <c r="C43" s="132"/>
      <c r="F43" s="124"/>
      <c r="G43" s="124"/>
    </row>
    <row r="44" spans="1:7" x14ac:dyDescent="0.2">
      <c r="A44" s="126"/>
      <c r="C44" s="132">
        <f>G30+G33+G34+G37+G38</f>
        <v>707510733.31000006</v>
      </c>
      <c r="F44" s="124"/>
      <c r="G44" s="124"/>
    </row>
    <row r="45" spans="1:7" x14ac:dyDescent="0.2">
      <c r="A45" s="126"/>
      <c r="C45" s="132"/>
      <c r="F45" s="124"/>
      <c r="G45" s="124"/>
    </row>
    <row r="46" spans="1:7" x14ac:dyDescent="0.2">
      <c r="A46" s="126"/>
      <c r="C46" s="124"/>
      <c r="F46" s="124"/>
      <c r="G46" s="124"/>
    </row>
    <row r="47" spans="1:7" x14ac:dyDescent="0.2">
      <c r="A47" s="126"/>
      <c r="C47" s="124"/>
      <c r="F47" s="124"/>
      <c r="G47" s="124"/>
    </row>
    <row r="48" spans="1:7" x14ac:dyDescent="0.2">
      <c r="A48" s="123"/>
      <c r="C48" s="127">
        <f>C3+C44</f>
        <v>868924733.31000006</v>
      </c>
      <c r="G48" s="124"/>
    </row>
    <row r="49" spans="3:7" x14ac:dyDescent="0.2">
      <c r="C49" s="124"/>
      <c r="G49" s="124"/>
    </row>
    <row r="50" spans="3:7" x14ac:dyDescent="0.2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25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17">
        <v>1</v>
      </c>
      <c r="B6" s="318"/>
      <c r="C6" s="318"/>
      <c r="D6" s="319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5" thickTop="1" x14ac:dyDescent="0.25">
      <c r="A7" s="108" t="s">
        <v>21</v>
      </c>
      <c r="B7" s="109"/>
      <c r="C7" s="109"/>
      <c r="D7" s="134"/>
      <c r="E7" s="138" t="e">
        <f>'Očekávané plnění k 31.12.2021'!#REF!</f>
        <v>#REF!</v>
      </c>
      <c r="F7" s="138" t="e">
        <f>'Očekávané plnění k 31.12.2021'!#REF!</f>
        <v>#REF!</v>
      </c>
      <c r="G7" s="138" t="e">
        <f>'Očekávané plnění k 31.12.2021'!#REF!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25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17">
        <v>1</v>
      </c>
      <c r="B40" s="318"/>
      <c r="C40" s="318"/>
      <c r="D40" s="319"/>
      <c r="E40" s="145">
        <v>2</v>
      </c>
      <c r="F40" s="145">
        <v>3</v>
      </c>
      <c r="G40" s="145">
        <v>4</v>
      </c>
      <c r="H40" s="146" t="s">
        <v>6</v>
      </c>
    </row>
    <row r="41" spans="1:8" ht="20.25" thickTop="1" x14ac:dyDescent="0.4">
      <c r="A41" s="99" t="s">
        <v>27</v>
      </c>
      <c r="B41" s="100"/>
      <c r="C41" s="100"/>
      <c r="D41" s="101"/>
      <c r="E41" s="148" t="e">
        <f>'Očekávané plnění k 31.12.2021'!#REF!</f>
        <v>#REF!</v>
      </c>
      <c r="F41" s="148" t="e">
        <f>'Očekávané plnění k 31.12.2021'!#REF!</f>
        <v>#REF!</v>
      </c>
      <c r="G41" s="148" t="e">
        <f>'Očekávané plnění k 31.12.2021'!#REF!</f>
        <v>#REF!</v>
      </c>
      <c r="H41" s="151" t="e">
        <f>(G41/F41)*100</f>
        <v>#REF!</v>
      </c>
    </row>
    <row r="42" spans="1:8" ht="19.5" x14ac:dyDescent="0.4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4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31.12.2021</vt:lpstr>
      <vt:lpstr>Výdaje (2)</vt:lpstr>
      <vt:lpstr>List2</vt:lpstr>
      <vt:lpstr>8115-zap.zůst.k 31.12.2011</vt:lpstr>
      <vt:lpstr>Rekapitulace (2)</vt:lpstr>
      <vt:lpstr>List4</vt:lpstr>
      <vt:lpstr>'Očekávané plnění k 31.12.2021'!Oblast_tisku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2021-11-16T13:37:34Z</cp:lastPrinted>
  <dcterms:created xsi:type="dcterms:W3CDTF">2010-11-26T09:05:32Z</dcterms:created>
  <dcterms:modified xsi:type="dcterms:W3CDTF">2021-11-24T05:53:45Z</dcterms:modified>
</cp:coreProperties>
</file>