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J:\OdRR\RSK OK\1_Zasedání RSK OK\23RSK OK_22_6_2022\"/>
    </mc:Choice>
  </mc:AlternateContent>
  <bookViews>
    <workbookView xWindow="-120" yWindow="-120" windowWidth="29040" windowHeight="15840" activeTab="3"/>
  </bookViews>
  <sheets>
    <sheet name="milníky Olomoucký kraj" sheetId="8" r:id="rId1"/>
    <sheet name="Klíč silnice_final" sheetId="1" r:id="rId2"/>
    <sheet name="Klíč ZZS_final" sheetId="2" r:id="rId3"/>
    <sheet name="Klíč SŠ" sheetId="3" r:id="rId4"/>
    <sheet name="Klíč_DI" sheetId="5" r:id="rId5"/>
    <sheet name="milníky" sheetId="7" r:id="rId6"/>
  </sheets>
  <externalReferences>
    <externalReference r:id="rId7"/>
    <externalReference r:id="rId8"/>
  </externalReferences>
  <definedNames>
    <definedName name="detail.SCall">[1]model!$B$32:$B$153</definedName>
    <definedName name="EFRR_SC_Tab_AP">'[1]alokace zjedn. AP - po aktivit.'!$E$8:$E$24</definedName>
    <definedName name="iti.kr">[1]model!$H$189:$H$201</definedName>
    <definedName name="ITI.pocetobci">[1]model!$D$189:$D$201</definedName>
    <definedName name="iti.pocetobyvatel">[1]model!$F$189:$F$201</definedName>
    <definedName name="iti.rozloha">[1]model!$E$189:$E$201</definedName>
    <definedName name="Klimakody.Kod.nazev">'[1]rozpad do aktivit v % + klima'!$C$2:$D$53</definedName>
    <definedName name="nazvy_SC_Tab_AP">'[1]alokace zjedn. AP - po aktivit.'!$C$8:$C$24</definedName>
    <definedName name="PO1celkem">'[2]finanční tabulky'!$L$28:$L$33</definedName>
    <definedName name="PO2celkem">'[2]finanční tabulky'!$L$34:$L$59</definedName>
    <definedName name="PO3celkem">'[2]finanční tabulky'!$L$60:$L$63</definedName>
    <definedName name="PO4celkem">'[2]finanční tabulky'!$L$64:$L$81</definedName>
    <definedName name="PO5celkem">'[2]finanční tabulky'!$L$82:$L$87</definedName>
    <definedName name="priosaSC1KR">'[2]finanční tabulky'!$D$28:$D$33</definedName>
    <definedName name="priosaSC31KR">'[2]finanční tabulky'!$D$60:$D$63</definedName>
    <definedName name="Procenta_SC_Tab_AP">'[1]alokace zjedn. AP - po aktivit.'!$F$8:$F$24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" i="8" l="1"/>
  <c r="B35" i="8" s="1"/>
  <c r="B47" i="8" s="1"/>
  <c r="B59" i="8" s="1"/>
  <c r="F59" i="8"/>
  <c r="F58" i="8"/>
  <c r="F57" i="8"/>
  <c r="B57" i="8"/>
  <c r="F56" i="8"/>
  <c r="B56" i="8"/>
  <c r="F55" i="8"/>
  <c r="H55" i="8" s="1"/>
  <c r="B55" i="8"/>
  <c r="B54" i="8"/>
  <c r="B53" i="8"/>
  <c r="B52" i="8"/>
  <c r="D52" i="8" s="1"/>
  <c r="D53" i="8" s="1"/>
  <c r="D54" i="8" s="1"/>
  <c r="D55" i="8" s="1"/>
  <c r="D56" i="8" s="1"/>
  <c r="D57" i="8" s="1"/>
  <c r="D51" i="8"/>
  <c r="D39" i="8"/>
  <c r="F45" i="8"/>
  <c r="F34" i="8"/>
  <c r="B30" i="8"/>
  <c r="B28" i="8"/>
  <c r="D28" i="8" s="1"/>
  <c r="D27" i="8"/>
  <c r="F35" i="8"/>
  <c r="D15" i="8"/>
  <c r="F21" i="8" l="1"/>
  <c r="H56" i="8"/>
  <c r="H57" i="8" s="1"/>
  <c r="H58" i="8" s="1"/>
  <c r="H59" i="8" s="1"/>
  <c r="B19" i="8"/>
  <c r="B20" i="8"/>
  <c r="B22" i="8"/>
  <c r="B34" i="8" s="1"/>
  <c r="B46" i="8" s="1"/>
  <c r="B58" i="8" s="1"/>
  <c r="F23" i="8"/>
  <c r="F31" i="8"/>
  <c r="H31" i="8" s="1"/>
  <c r="F32" i="8"/>
  <c r="F33" i="8"/>
  <c r="B41" i="8"/>
  <c r="B43" i="8"/>
  <c r="B44" i="8"/>
  <c r="B45" i="8"/>
  <c r="F47" i="8"/>
  <c r="F22" i="8"/>
  <c r="F46" i="8"/>
  <c r="I60" i="8"/>
  <c r="B17" i="8"/>
  <c r="B21" i="8"/>
  <c r="B16" i="8"/>
  <c r="D16" i="8" s="1"/>
  <c r="B18" i="8"/>
  <c r="F19" i="8"/>
  <c r="H19" i="8" s="1"/>
  <c r="F20" i="8"/>
  <c r="B29" i="8"/>
  <c r="D29" i="8" s="1"/>
  <c r="D30" i="8" s="1"/>
  <c r="D31" i="8" s="1"/>
  <c r="D32" i="8" s="1"/>
  <c r="D33" i="8" s="1"/>
  <c r="B31" i="8"/>
  <c r="B32" i="8"/>
  <c r="B33" i="8"/>
  <c r="B40" i="8"/>
  <c r="D40" i="8" s="1"/>
  <c r="B42" i="8"/>
  <c r="F43" i="8"/>
  <c r="H43" i="8" s="1"/>
  <c r="F44" i="8"/>
  <c r="B3" i="1"/>
  <c r="B3" i="2"/>
  <c r="D41" i="8" l="1"/>
  <c r="D42" i="8" s="1"/>
  <c r="D43" i="8" s="1"/>
  <c r="D44" i="8" s="1"/>
  <c r="D45" i="8" s="1"/>
  <c r="D17" i="8"/>
  <c r="D18" i="8" s="1"/>
  <c r="D19" i="8" s="1"/>
  <c r="D20" i="8" s="1"/>
  <c r="D21" i="8" s="1"/>
  <c r="H32" i="8"/>
  <c r="H33" i="8" s="1"/>
  <c r="H34" i="8" s="1"/>
  <c r="H35" i="8" s="1"/>
  <c r="H44" i="8"/>
  <c r="H45" i="8" s="1"/>
  <c r="H46" i="8" s="1"/>
  <c r="H47" i="8" s="1"/>
  <c r="H20" i="8"/>
  <c r="H21" i="8" s="1"/>
  <c r="H22" i="8"/>
  <c r="H23" i="8" s="1"/>
  <c r="B30" i="3"/>
  <c r="B28" i="3"/>
  <c r="B30" i="2"/>
  <c r="B30" i="1"/>
  <c r="F55" i="7" l="1"/>
  <c r="F56" i="7"/>
  <c r="F57" i="7"/>
  <c r="F58" i="7"/>
  <c r="F54" i="7"/>
  <c r="H54" i="7" s="1"/>
  <c r="B52" i="7"/>
  <c r="B53" i="7"/>
  <c r="B54" i="7"/>
  <c r="B55" i="7"/>
  <c r="B56" i="7"/>
  <c r="B51" i="7"/>
  <c r="D51" i="7" s="1"/>
  <c r="D52" i="7" s="1"/>
  <c r="D53" i="7" s="1"/>
  <c r="D50" i="7"/>
  <c r="B31" i="3"/>
  <c r="I36" i="7" s="1"/>
  <c r="F46" i="7" s="1"/>
  <c r="D38" i="7"/>
  <c r="B31" i="2"/>
  <c r="I24" i="7" s="1"/>
  <c r="D26" i="7"/>
  <c r="D14" i="7"/>
  <c r="B41" i="7" l="1"/>
  <c r="F44" i="7"/>
  <c r="B39" i="7"/>
  <c r="D39" i="7" s="1"/>
  <c r="B40" i="7"/>
  <c r="F43" i="7"/>
  <c r="B44" i="7"/>
  <c r="F42" i="7"/>
  <c r="H42" i="7" s="1"/>
  <c r="B43" i="7"/>
  <c r="F45" i="7"/>
  <c r="B42" i="7"/>
  <c r="B30" i="7"/>
  <c r="F30" i="7"/>
  <c r="H30" i="7" s="1"/>
  <c r="F31" i="7"/>
  <c r="B27" i="7"/>
  <c r="D27" i="7" s="1"/>
  <c r="B29" i="7"/>
  <c r="F34" i="7"/>
  <c r="B32" i="7"/>
  <c r="B28" i="7"/>
  <c r="F33" i="7"/>
  <c r="B31" i="7"/>
  <c r="F32" i="7"/>
  <c r="D54" i="7"/>
  <c r="D55" i="7" s="1"/>
  <c r="D56" i="7" s="1"/>
  <c r="H55" i="7"/>
  <c r="H56" i="7" s="1"/>
  <c r="H57" i="7" s="1"/>
  <c r="H58" i="7" s="1"/>
  <c r="D47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0" i="3"/>
  <c r="C29" i="3"/>
  <c r="C28" i="3"/>
  <c r="E47" i="3" s="1"/>
  <c r="D46" i="2"/>
  <c r="D45" i="2"/>
  <c r="D44" i="2"/>
  <c r="D43" i="2"/>
  <c r="D42" i="2"/>
  <c r="D41" i="2"/>
  <c r="D40" i="2"/>
  <c r="D39" i="2"/>
  <c r="D35" i="2"/>
  <c r="D36" i="2"/>
  <c r="D37" i="2"/>
  <c r="D38" i="2"/>
  <c r="D34" i="2"/>
  <c r="C47" i="2"/>
  <c r="C30" i="2"/>
  <c r="C29" i="2"/>
  <c r="E38" i="2" s="1"/>
  <c r="D40" i="1"/>
  <c r="D41" i="1"/>
  <c r="D42" i="1"/>
  <c r="D43" i="1"/>
  <c r="D44" i="1"/>
  <c r="D45" i="1"/>
  <c r="D46" i="1"/>
  <c r="D39" i="1"/>
  <c r="D35" i="1"/>
  <c r="D36" i="1"/>
  <c r="D37" i="1"/>
  <c r="D38" i="1"/>
  <c r="D34" i="1"/>
  <c r="B31" i="1"/>
  <c r="I12" i="7" s="1"/>
  <c r="C30" i="1"/>
  <c r="C29" i="1"/>
  <c r="D40" i="7" l="1"/>
  <c r="D41" i="7" s="1"/>
  <c r="H43" i="7"/>
  <c r="H44" i="7" s="1"/>
  <c r="H45" i="7" s="1"/>
  <c r="H46" i="7" s="1"/>
  <c r="H31" i="7"/>
  <c r="D42" i="7"/>
  <c r="D43" i="7" s="1"/>
  <c r="D44" i="7" s="1"/>
  <c r="F21" i="7"/>
  <c r="B16" i="7"/>
  <c r="B20" i="7"/>
  <c r="B17" i="7"/>
  <c r="B21" i="7"/>
  <c r="B33" i="7" s="1"/>
  <c r="B45" i="7" s="1"/>
  <c r="B57" i="7" s="1"/>
  <c r="F19" i="7"/>
  <c r="B18" i="7"/>
  <c r="F20" i="7"/>
  <c r="B19" i="7"/>
  <c r="B15" i="7"/>
  <c r="D15" i="7" s="1"/>
  <c r="D16" i="7" s="1"/>
  <c r="F22" i="7"/>
  <c r="F18" i="7"/>
  <c r="H18" i="7" s="1"/>
  <c r="B22" i="7"/>
  <c r="B34" i="7" s="1"/>
  <c r="B46" i="7" s="1"/>
  <c r="B58" i="7" s="1"/>
  <c r="I59" i="7"/>
  <c r="H32" i="7"/>
  <c r="H33" i="7" s="1"/>
  <c r="H34" i="7" s="1"/>
  <c r="D28" i="7"/>
  <c r="D29" i="7" s="1"/>
  <c r="D30" i="7" s="1"/>
  <c r="D31" i="7" s="1"/>
  <c r="D32" i="7" s="1"/>
  <c r="E35" i="1"/>
  <c r="E36" i="1"/>
  <c r="E37" i="1"/>
  <c r="E38" i="1"/>
  <c r="E34" i="1"/>
  <c r="E40" i="1"/>
  <c r="E41" i="1"/>
  <c r="E42" i="1"/>
  <c r="E43" i="1"/>
  <c r="E44" i="1"/>
  <c r="E45" i="1"/>
  <c r="E46" i="1"/>
  <c r="I46" i="1" s="1"/>
  <c r="E39" i="1"/>
  <c r="E46" i="2"/>
  <c r="E40" i="2"/>
  <c r="E39" i="2"/>
  <c r="C48" i="3"/>
  <c r="E43" i="2"/>
  <c r="E44" i="2"/>
  <c r="H47" i="3"/>
  <c r="E41" i="2"/>
  <c r="E45" i="2"/>
  <c r="E42" i="2"/>
  <c r="E37" i="2"/>
  <c r="E35" i="2"/>
  <c r="E36" i="2"/>
  <c r="E34" i="2"/>
  <c r="I38" i="1"/>
  <c r="B18" i="5"/>
  <c r="D17" i="7" l="1"/>
  <c r="D18" i="7" s="1"/>
  <c r="D19" i="7" s="1"/>
  <c r="D20" i="7" s="1"/>
  <c r="H19" i="7"/>
  <c r="H20" i="7" s="1"/>
  <c r="H21" i="7" s="1"/>
  <c r="H22" i="7" s="1"/>
  <c r="F34" i="2"/>
  <c r="G34" i="2" s="1"/>
  <c r="F38" i="2"/>
  <c r="G38" i="2" s="1"/>
  <c r="F36" i="2"/>
  <c r="G36" i="2" s="1"/>
  <c r="F35" i="2"/>
  <c r="G35" i="2" s="1"/>
  <c r="F37" i="2"/>
  <c r="G37" i="2" s="1"/>
  <c r="F42" i="2"/>
  <c r="G42" i="2" s="1"/>
  <c r="F45" i="2"/>
  <c r="G45" i="2" s="1"/>
  <c r="F41" i="2"/>
  <c r="G41" i="2" s="1"/>
  <c r="F44" i="2"/>
  <c r="G44" i="2" s="1"/>
  <c r="F43" i="2"/>
  <c r="G43" i="2" s="1"/>
  <c r="F39" i="2"/>
  <c r="G39" i="2" s="1"/>
  <c r="F40" i="2"/>
  <c r="G40" i="2" s="1"/>
  <c r="F46" i="2"/>
  <c r="G46" i="2" s="1"/>
  <c r="I39" i="1"/>
  <c r="F39" i="1"/>
  <c r="G39" i="1" s="1"/>
  <c r="F46" i="1"/>
  <c r="G46" i="1" s="1"/>
  <c r="I45" i="1"/>
  <c r="F45" i="1"/>
  <c r="G45" i="1" s="1"/>
  <c r="F44" i="1"/>
  <c r="G44" i="1" s="1"/>
  <c r="I44" i="1"/>
  <c r="F43" i="1"/>
  <c r="G43" i="1" s="1"/>
  <c r="I43" i="1"/>
  <c r="I42" i="1"/>
  <c r="F42" i="1"/>
  <c r="G42" i="1" s="1"/>
  <c r="F41" i="1"/>
  <c r="G41" i="1" s="1"/>
  <c r="I41" i="1"/>
  <c r="F40" i="1"/>
  <c r="G40" i="1" s="1"/>
  <c r="I40" i="1"/>
  <c r="I34" i="1"/>
  <c r="F34" i="1"/>
  <c r="G34" i="1" s="1"/>
  <c r="F38" i="1"/>
  <c r="G38" i="1" s="1"/>
  <c r="F37" i="1"/>
  <c r="G37" i="1" s="1"/>
  <c r="I37" i="1"/>
  <c r="F36" i="1"/>
  <c r="G36" i="1" s="1"/>
  <c r="I36" i="1"/>
  <c r="F35" i="1"/>
  <c r="G35" i="1" s="1"/>
  <c r="I35" i="1"/>
  <c r="B5" i="1" l="1"/>
  <c r="C17" i="5" l="1"/>
  <c r="C16" i="5"/>
  <c r="C13" i="5"/>
  <c r="C12" i="5"/>
  <c r="C11" i="5"/>
  <c r="C10" i="5"/>
  <c r="C9" i="5"/>
  <c r="C8" i="5"/>
  <c r="C7" i="5"/>
  <c r="C15" i="5"/>
  <c r="C14" i="5"/>
  <c r="C6" i="5"/>
  <c r="C5" i="5"/>
  <c r="C18" i="5" l="1"/>
  <c r="C3" i="1"/>
  <c r="C3" i="2" l="1"/>
  <c r="C4" i="3"/>
  <c r="C5" i="3"/>
  <c r="C3" i="3"/>
  <c r="C4" i="1" l="1"/>
  <c r="C4" i="2"/>
  <c r="D22" i="3" l="1"/>
  <c r="E14" i="2"/>
  <c r="E15" i="2"/>
  <c r="E16" i="2"/>
  <c r="E17" i="2"/>
  <c r="E18" i="2"/>
  <c r="E19" i="2"/>
  <c r="E20" i="2"/>
  <c r="E13" i="2"/>
  <c r="D14" i="2"/>
  <c r="D15" i="2"/>
  <c r="D16" i="2"/>
  <c r="D17" i="2"/>
  <c r="D18" i="2"/>
  <c r="D19" i="2"/>
  <c r="D20" i="2"/>
  <c r="D13" i="2"/>
  <c r="D9" i="2"/>
  <c r="D10" i="2"/>
  <c r="D11" i="2"/>
  <c r="D12" i="2"/>
  <c r="D8" i="2"/>
  <c r="E9" i="2"/>
  <c r="E10" i="2"/>
  <c r="E11" i="2"/>
  <c r="E12" i="2"/>
  <c r="E8" i="2"/>
  <c r="D14" i="1"/>
  <c r="D15" i="1"/>
  <c r="D16" i="1"/>
  <c r="D17" i="1"/>
  <c r="D18" i="1"/>
  <c r="D19" i="1"/>
  <c r="D20" i="1"/>
  <c r="D13" i="1"/>
  <c r="D9" i="1"/>
  <c r="D10" i="1"/>
  <c r="D11" i="1"/>
  <c r="D12" i="1"/>
  <c r="D8" i="1"/>
  <c r="F11" i="2" l="1"/>
  <c r="F10" i="2"/>
  <c r="F20" i="2"/>
  <c r="F16" i="2"/>
  <c r="F8" i="2"/>
  <c r="F14" i="2"/>
  <c r="F17" i="2"/>
  <c r="F19" i="2"/>
  <c r="F15" i="2"/>
  <c r="F18" i="2"/>
  <c r="F13" i="2"/>
  <c r="F9" i="2"/>
  <c r="F12" i="2"/>
  <c r="E14" i="1" l="1"/>
  <c r="I14" i="1" s="1"/>
  <c r="E15" i="1"/>
  <c r="I15" i="1" s="1"/>
  <c r="E16" i="1"/>
  <c r="I16" i="1" s="1"/>
  <c r="E17" i="1"/>
  <c r="I17" i="1" s="1"/>
  <c r="E18" i="1"/>
  <c r="I18" i="1" s="1"/>
  <c r="E19" i="1"/>
  <c r="I19" i="1" s="1"/>
  <c r="E20" i="1"/>
  <c r="I20" i="1" s="1"/>
  <c r="E13" i="1"/>
  <c r="I13" i="1" s="1"/>
  <c r="C22" i="3" l="1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E22" i="3"/>
  <c r="C21" i="2"/>
  <c r="D9" i="3" l="1"/>
  <c r="E34" i="3"/>
  <c r="D34" i="3"/>
  <c r="D35" i="3"/>
  <c r="E35" i="3"/>
  <c r="D36" i="3"/>
  <c r="E36" i="3"/>
  <c r="D37" i="3"/>
  <c r="E37" i="3"/>
  <c r="D38" i="3"/>
  <c r="E38" i="3"/>
  <c r="D14" i="3"/>
  <c r="E39" i="3"/>
  <c r="D39" i="3"/>
  <c r="D40" i="3"/>
  <c r="E40" i="3"/>
  <c r="D41" i="3"/>
  <c r="E41" i="3"/>
  <c r="D42" i="3"/>
  <c r="E42" i="3"/>
  <c r="D43" i="3"/>
  <c r="E43" i="3"/>
  <c r="D44" i="3"/>
  <c r="E44" i="3"/>
  <c r="D45" i="3"/>
  <c r="E45" i="3"/>
  <c r="D46" i="3"/>
  <c r="E46" i="3"/>
  <c r="F18" i="1"/>
  <c r="G18" i="1" s="1"/>
  <c r="F14" i="1"/>
  <c r="G14" i="1" s="1"/>
  <c r="D10" i="3"/>
  <c r="D11" i="3"/>
  <c r="D12" i="3"/>
  <c r="D13" i="3"/>
  <c r="D15" i="3"/>
  <c r="D16" i="3"/>
  <c r="D17" i="3"/>
  <c r="D18" i="3"/>
  <c r="D19" i="3"/>
  <c r="D20" i="3"/>
  <c r="D21" i="3"/>
  <c r="E20" i="3"/>
  <c r="H20" i="3" s="1"/>
  <c r="G11" i="2"/>
  <c r="G10" i="2"/>
  <c r="G9" i="2"/>
  <c r="G8" i="2"/>
  <c r="G14" i="2"/>
  <c r="E10" i="1"/>
  <c r="F17" i="1"/>
  <c r="G17" i="1" s="1"/>
  <c r="F13" i="1"/>
  <c r="G13" i="1" s="1"/>
  <c r="E11" i="1"/>
  <c r="E12" i="1"/>
  <c r="F19" i="1"/>
  <c r="G19" i="1" s="1"/>
  <c r="F15" i="1"/>
  <c r="G15" i="1" s="1"/>
  <c r="E9" i="1"/>
  <c r="E8" i="1"/>
  <c r="I8" i="1" s="1"/>
  <c r="F16" i="1"/>
  <c r="G16" i="1" s="1"/>
  <c r="F20" i="1"/>
  <c r="G20" i="1" s="1"/>
  <c r="G19" i="2"/>
  <c r="G15" i="2"/>
  <c r="G13" i="2"/>
  <c r="G18" i="2"/>
  <c r="G12" i="2"/>
  <c r="G16" i="2"/>
  <c r="G17" i="2"/>
  <c r="E12" i="3"/>
  <c r="E10" i="3"/>
  <c r="G20" i="2"/>
  <c r="H22" i="3"/>
  <c r="C23" i="3"/>
  <c r="E9" i="3"/>
  <c r="E11" i="3"/>
  <c r="E13" i="3"/>
  <c r="E15" i="3"/>
  <c r="E17" i="3"/>
  <c r="E19" i="3"/>
  <c r="E21" i="3"/>
  <c r="E14" i="3"/>
  <c r="E16" i="3"/>
  <c r="E18" i="3"/>
  <c r="F46" i="3" l="1"/>
  <c r="G46" i="3" s="1"/>
  <c r="H46" i="3"/>
  <c r="F45" i="3"/>
  <c r="G45" i="3" s="1"/>
  <c r="H45" i="3"/>
  <c r="F44" i="3"/>
  <c r="G44" i="3" s="1"/>
  <c r="H44" i="3"/>
  <c r="F43" i="3"/>
  <c r="G43" i="3" s="1"/>
  <c r="H43" i="3"/>
  <c r="F42" i="3"/>
  <c r="G42" i="3" s="1"/>
  <c r="H42" i="3"/>
  <c r="F41" i="3"/>
  <c r="G41" i="3" s="1"/>
  <c r="H41" i="3"/>
  <c r="F40" i="3"/>
  <c r="G40" i="3" s="1"/>
  <c r="H40" i="3"/>
  <c r="F39" i="3"/>
  <c r="G39" i="3" s="1"/>
  <c r="H39" i="3"/>
  <c r="F38" i="3"/>
  <c r="G38" i="3" s="1"/>
  <c r="H38" i="3"/>
  <c r="F37" i="3"/>
  <c r="G37" i="3" s="1"/>
  <c r="H37" i="3"/>
  <c r="F36" i="3"/>
  <c r="G36" i="3" s="1"/>
  <c r="H36" i="3"/>
  <c r="F35" i="3"/>
  <c r="G35" i="3" s="1"/>
  <c r="H35" i="3"/>
  <c r="F34" i="3"/>
  <c r="G34" i="3" s="1"/>
  <c r="F47" i="3"/>
  <c r="G47" i="3" s="1"/>
  <c r="H34" i="3"/>
  <c r="F9" i="1"/>
  <c r="G9" i="1" s="1"/>
  <c r="I9" i="1"/>
  <c r="F12" i="1"/>
  <c r="G12" i="1" s="1"/>
  <c r="I12" i="1"/>
  <c r="F11" i="1"/>
  <c r="G11" i="1" s="1"/>
  <c r="I11" i="1"/>
  <c r="F10" i="1"/>
  <c r="G10" i="1" s="1"/>
  <c r="I10" i="1"/>
  <c r="F8" i="1"/>
  <c r="G8" i="1" s="1"/>
  <c r="H16" i="3"/>
  <c r="F16" i="3"/>
  <c r="G16" i="3" s="1"/>
  <c r="F17" i="3"/>
  <c r="G17" i="3" s="1"/>
  <c r="H17" i="3"/>
  <c r="H12" i="3"/>
  <c r="F12" i="3"/>
  <c r="G12" i="3" s="1"/>
  <c r="H18" i="3"/>
  <c r="F18" i="3"/>
  <c r="G18" i="3" s="1"/>
  <c r="F19" i="3"/>
  <c r="G19" i="3" s="1"/>
  <c r="H19" i="3"/>
  <c r="F15" i="3"/>
  <c r="G15" i="3" s="1"/>
  <c r="H15" i="3"/>
  <c r="F13" i="3"/>
  <c r="G13" i="3" s="1"/>
  <c r="H13" i="3"/>
  <c r="F9" i="3"/>
  <c r="G9" i="3" s="1"/>
  <c r="H9" i="3"/>
  <c r="F20" i="3"/>
  <c r="G20" i="3" s="1"/>
  <c r="F11" i="3"/>
  <c r="G11" i="3" s="1"/>
  <c r="H11" i="3"/>
  <c r="H14" i="3"/>
  <c r="F14" i="3"/>
  <c r="G14" i="3" s="1"/>
  <c r="F21" i="3"/>
  <c r="G21" i="3" s="1"/>
  <c r="H21" i="3"/>
  <c r="F22" i="3"/>
  <c r="G22" i="3" s="1"/>
  <c r="H10" i="3"/>
  <c r="F10" i="3"/>
  <c r="G10" i="3" s="1"/>
</calcChain>
</file>

<file path=xl/sharedStrings.xml><?xml version="1.0" encoding="utf-8"?>
<sst xmlns="http://schemas.openxmlformats.org/spreadsheetml/2006/main" count="473" uniqueCount="81">
  <si>
    <t>IROP - klíč silnice</t>
  </si>
  <si>
    <t>EFRR</t>
  </si>
  <si>
    <t>EFRR + SR</t>
  </si>
  <si>
    <t>Přechodové</t>
  </si>
  <si>
    <t>+ 15 %</t>
  </si>
  <si>
    <t>EUR</t>
  </si>
  <si>
    <t>Méně rozvinuté</t>
  </si>
  <si>
    <t>VARIANTA 3
průměr variant 1 a 2</t>
  </si>
  <si>
    <t>Prioritní síť 
tis. km</t>
  </si>
  <si>
    <t>EFRR + SR / tis. km prioritní sítě</t>
  </si>
  <si>
    <t>tis. km</t>
  </si>
  <si>
    <t>AK %</t>
  </si>
  <si>
    <t>EFRR + SR (%)</t>
  </si>
  <si>
    <t xml:space="preserve">změna </t>
  </si>
  <si>
    <t>Jihočeský kraj</t>
  </si>
  <si>
    <t>Jihomoravský kraj</t>
  </si>
  <si>
    <t>Kraj Vysočina</t>
  </si>
  <si>
    <t>Plzeňský kraj</t>
  </si>
  <si>
    <t>Středočeský kraj</t>
  </si>
  <si>
    <t>Karlovarský kraj</t>
  </si>
  <si>
    <t>Královéhradecký kraj</t>
  </si>
  <si>
    <t>Liberecký kraj</t>
  </si>
  <si>
    <t>Moravskoslezský kraj</t>
  </si>
  <si>
    <t>Olomoucký kraj</t>
  </si>
  <si>
    <t>Pardubický kraj</t>
  </si>
  <si>
    <t>Ústecký kraj</t>
  </si>
  <si>
    <t>Zlínský kraj</t>
  </si>
  <si>
    <t>Celkem</t>
  </si>
  <si>
    <t>Kč</t>
  </si>
  <si>
    <t>IROP - klíč ZZS</t>
  </si>
  <si>
    <t>VARIANTA 11
počet výjezdových základem a výjezdových skupin (50 : 50)</t>
  </si>
  <si>
    <t>počet</t>
  </si>
  <si>
    <t>34 a 52,5</t>
  </si>
  <si>
    <t>23 a 45,5</t>
  </si>
  <si>
    <t>22 a 30</t>
  </si>
  <si>
    <t>27 a 46</t>
  </si>
  <si>
    <t>44 a 83</t>
  </si>
  <si>
    <t>13 a 22,5</t>
  </si>
  <si>
    <t>16 a 30,5</t>
  </si>
  <si>
    <t>15 a 31</t>
  </si>
  <si>
    <t>35 a 64,4</t>
  </si>
  <si>
    <t>16 a 30</t>
  </si>
  <si>
    <t>18 a 31</t>
  </si>
  <si>
    <t>22 a 44,5</t>
  </si>
  <si>
    <t>16 a 34</t>
  </si>
  <si>
    <t>IROP - klíč SŠ</t>
  </si>
  <si>
    <t>Vícerozvínuté</t>
  </si>
  <si>
    <t>+ 50 %</t>
  </si>
  <si>
    <t>+ 20 %</t>
  </si>
  <si>
    <t>+ 5 %</t>
  </si>
  <si>
    <t>Počet žáků / studentů SŠ, VOŠ a konzervatoří</t>
  </si>
  <si>
    <t>EFRR + SR / student</t>
  </si>
  <si>
    <t>Praha</t>
  </si>
  <si>
    <t>IROP - klíč deinstitucionalizace</t>
  </si>
  <si>
    <t>Popisky řádků</t>
  </si>
  <si>
    <t>Požadovaná částka z EFRR (CZK)</t>
  </si>
  <si>
    <t>Celkový součet</t>
  </si>
  <si>
    <t>Rok</t>
  </si>
  <si>
    <r>
      <t xml:space="preserve">Podíl objemu alokace EFRR za rok </t>
    </r>
    <r>
      <rPr>
        <b/>
        <u/>
        <sz val="11"/>
        <color rgb="FF000000"/>
        <rFont val="Calibri"/>
        <family val="2"/>
        <charset val="238"/>
      </rPr>
      <t>ve výzvách</t>
    </r>
  </si>
  <si>
    <t>Roky kumulativně</t>
  </si>
  <si>
    <r>
      <t xml:space="preserve">Podíl objemu alokace EFRR kumulativně v letech </t>
    </r>
    <r>
      <rPr>
        <b/>
        <u/>
        <sz val="11"/>
        <color rgb="FF000000"/>
        <rFont val="Calibri"/>
        <family val="2"/>
        <charset val="238"/>
      </rPr>
      <t>ve výzvách</t>
    </r>
  </si>
  <si>
    <r>
      <t xml:space="preserve">Podíl objemu alokace EFRR za rok </t>
    </r>
    <r>
      <rPr>
        <b/>
        <u/>
        <sz val="11"/>
        <color rgb="FF000000"/>
        <rFont val="Calibri"/>
        <family val="2"/>
        <charset val="238"/>
      </rPr>
      <t>v ŽoP</t>
    </r>
  </si>
  <si>
    <r>
      <t xml:space="preserve">Podíl objemu alokace EFRR kumulativně v letech </t>
    </r>
    <r>
      <rPr>
        <b/>
        <u/>
        <sz val="11"/>
        <color rgb="FF000000"/>
        <rFont val="Calibri"/>
        <family val="2"/>
        <charset val="238"/>
      </rPr>
      <t>v ŽoP</t>
    </r>
  </si>
  <si>
    <t>2021-2022</t>
  </si>
  <si>
    <t>2021-2023</t>
  </si>
  <si>
    <t>2021-2024</t>
  </si>
  <si>
    <t>2021-2025</t>
  </si>
  <si>
    <t>2021-2026</t>
  </si>
  <si>
    <t>2021-2027</t>
  </si>
  <si>
    <t>2021-2028</t>
  </si>
  <si>
    <t>2021-2029</t>
  </si>
  <si>
    <t>SILNICE</t>
  </si>
  <si>
    <r>
      <t xml:space="preserve">Objem alokace EFRR za rok </t>
    </r>
    <r>
      <rPr>
        <b/>
        <u/>
        <sz val="11"/>
        <color rgb="FF000000"/>
        <rFont val="Calibri"/>
        <family val="2"/>
        <charset val="238"/>
      </rPr>
      <t>v ŽoP</t>
    </r>
  </si>
  <si>
    <r>
      <t xml:space="preserve">Objem alokace EFRR kumulativně v letech </t>
    </r>
    <r>
      <rPr>
        <b/>
        <u/>
        <sz val="11"/>
        <color rgb="FF000000"/>
        <rFont val="Calibri"/>
        <family val="2"/>
        <charset val="238"/>
      </rPr>
      <t>v ŽoP</t>
    </r>
  </si>
  <si>
    <t>ZZS</t>
  </si>
  <si>
    <t>SŠ</t>
  </si>
  <si>
    <t>DI</t>
  </si>
  <si>
    <r>
      <t xml:space="preserve">Objem alokace EFRR za rok </t>
    </r>
    <r>
      <rPr>
        <b/>
        <u/>
        <sz val="11"/>
        <color rgb="FF000000"/>
        <rFont val="Calibri"/>
        <family val="2"/>
        <charset val="238"/>
      </rPr>
      <t>ve výzvách</t>
    </r>
  </si>
  <si>
    <r>
      <t xml:space="preserve">Objem alokace EFRR kumulativně v letech </t>
    </r>
    <r>
      <rPr>
        <b/>
        <u/>
        <sz val="11"/>
        <color rgb="FF000000"/>
        <rFont val="Calibri"/>
        <family val="2"/>
        <charset val="238"/>
      </rPr>
      <t>ve výzvách</t>
    </r>
  </si>
  <si>
    <t>celkem RAP OK</t>
  </si>
  <si>
    <t>Milníky IROP 2 pro RAP OK, dle schválených klíčů pro Olomoucký kraj (vše v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</si>
</sst>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K_č_-;\-* #,##0.00\ _K_č_-;_-* &quot;-&quot;??\ _K_č_-;_-@_-"/>
    <numFmt numFmtId="165" formatCode="_-* #,##0_-;\-* #,##0_-;_-* &quot;-&quot;??_-;_-@_-"/>
  </numFmts>
  <fonts count="29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9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0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sz val="11"/>
      <color rgb="FF3F3F3F"/>
      <name val="Calibri"/>
      <family val="2"/>
      <charset val="238"/>
    </font>
    <font>
      <b/>
      <sz val="11"/>
      <color rgb="FF3F3F3F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3F3F3F"/>
      <name val="Arial"/>
      <family val="2"/>
      <charset val="238"/>
    </font>
    <font>
      <b/>
      <sz val="10"/>
      <color rgb="FF3F3F3F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" fillId="0" borderId="0"/>
  </cellStyleXfs>
  <cellXfs count="175">
    <xf numFmtId="0" fontId="0" fillId="0" borderId="0" xfId="0"/>
    <xf numFmtId="0" fontId="3" fillId="0" borderId="0" xfId="2" applyFont="1"/>
    <xf numFmtId="0" fontId="2" fillId="0" borderId="0" xfId="2"/>
    <xf numFmtId="164" fontId="4" fillId="0" borderId="1" xfId="0" applyNumberFormat="1" applyFont="1" applyBorder="1" applyAlignment="1">
      <alignment horizontal="left"/>
    </xf>
    <xf numFmtId="165" fontId="2" fillId="0" borderId="1" xfId="2" applyNumberFormat="1" applyBorder="1"/>
    <xf numFmtId="0" fontId="2" fillId="0" borderId="1" xfId="2" applyBorder="1" applyAlignment="1">
      <alignment horizontal="center"/>
    </xf>
    <xf numFmtId="0" fontId="5" fillId="2" borderId="4" xfId="2" applyFont="1" applyFill="1" applyBorder="1" applyAlignment="1">
      <alignment horizontal="center" wrapText="1"/>
    </xf>
    <xf numFmtId="0" fontId="5" fillId="2" borderId="5" xfId="2" applyFont="1" applyFill="1" applyBorder="1" applyAlignment="1">
      <alignment horizontal="center" wrapText="1"/>
    </xf>
    <xf numFmtId="0" fontId="2" fillId="3" borderId="1" xfId="2" applyFill="1" applyBorder="1"/>
    <xf numFmtId="0" fontId="2" fillId="4" borderId="1" xfId="2" applyFill="1" applyBorder="1"/>
    <xf numFmtId="2" fontId="5" fillId="4" borderId="1" xfId="2" applyNumberFormat="1" applyFont="1" applyFill="1" applyBorder="1"/>
    <xf numFmtId="3" fontId="5" fillId="0" borderId="1" xfId="2" applyNumberFormat="1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/>
    </xf>
    <xf numFmtId="2" fontId="5" fillId="0" borderId="3" xfId="3" applyNumberFormat="1" applyFont="1" applyBorder="1" applyAlignment="1">
      <alignment horizontal="center"/>
    </xf>
    <xf numFmtId="165" fontId="4" fillId="0" borderId="5" xfId="1" applyNumberFormat="1" applyFont="1" applyBorder="1"/>
    <xf numFmtId="0" fontId="2" fillId="0" borderId="6" xfId="2" applyBorder="1" applyAlignment="1">
      <alignment horizontal="center"/>
    </xf>
    <xf numFmtId="0" fontId="2" fillId="2" borderId="1" xfId="2" applyFill="1" applyBorder="1" applyAlignment="1">
      <alignment wrapText="1"/>
    </xf>
    <xf numFmtId="0" fontId="2" fillId="3" borderId="1" xfId="2" applyFill="1" applyBorder="1" applyAlignment="1">
      <alignment horizontal="center"/>
    </xf>
    <xf numFmtId="2" fontId="2" fillId="3" borderId="1" xfId="2" applyNumberFormat="1" applyFill="1" applyBorder="1" applyAlignment="1">
      <alignment horizontal="center"/>
    </xf>
    <xf numFmtId="43" fontId="2" fillId="3" borderId="1" xfId="1" applyFont="1" applyFill="1" applyBorder="1" applyAlignment="1">
      <alignment horizontal="center"/>
    </xf>
    <xf numFmtId="2" fontId="2" fillId="0" borderId="1" xfId="2" applyNumberForma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5" fillId="4" borderId="1" xfId="2" applyFont="1" applyFill="1" applyBorder="1"/>
    <xf numFmtId="0" fontId="5" fillId="0" borderId="1" xfId="2" applyFont="1" applyBorder="1" applyAlignment="1">
      <alignment horizontal="center"/>
    </xf>
    <xf numFmtId="0" fontId="6" fillId="0" borderId="0" xfId="4"/>
    <xf numFmtId="164" fontId="2" fillId="0" borderId="1" xfId="0" applyNumberFormat="1" applyFont="1" applyBorder="1" applyAlignment="1">
      <alignment horizontal="left"/>
    </xf>
    <xf numFmtId="49" fontId="7" fillId="0" borderId="0" xfId="0" applyNumberFormat="1" applyFont="1"/>
    <xf numFmtId="165" fontId="2" fillId="3" borderId="1" xfId="1" applyNumberFormat="1" applyFont="1" applyFill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2" fillId="5" borderId="1" xfId="2" applyFill="1" applyBorder="1"/>
    <xf numFmtId="165" fontId="2" fillId="5" borderId="1" xfId="1" applyNumberFormat="1" applyFont="1" applyFill="1" applyBorder="1" applyAlignment="1">
      <alignment horizontal="center"/>
    </xf>
    <xf numFmtId="2" fontId="2" fillId="5" borderId="1" xfId="2" applyNumberFormat="1" applyFill="1" applyBorder="1" applyAlignment="1">
      <alignment horizontal="center"/>
    </xf>
    <xf numFmtId="43" fontId="2" fillId="5" borderId="1" xfId="1" applyFont="1" applyFill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2" fontId="5" fillId="0" borderId="1" xfId="2" applyNumberFormat="1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8" fillId="2" borderId="1" xfId="2" applyFont="1" applyFill="1" applyBorder="1" applyAlignment="1">
      <alignment horizontal="center" wrapText="1"/>
    </xf>
    <xf numFmtId="165" fontId="5" fillId="0" borderId="1" xfId="2" applyNumberFormat="1" applyFont="1" applyBorder="1"/>
    <xf numFmtId="0" fontId="5" fillId="0" borderId="0" xfId="2" applyFont="1" applyAlignment="1">
      <alignment horizontal="center"/>
    </xf>
    <xf numFmtId="2" fontId="2" fillId="3" borderId="5" xfId="2" applyNumberFormat="1" applyFill="1" applyBorder="1" applyAlignment="1">
      <alignment horizontal="center"/>
    </xf>
    <xf numFmtId="2" fontId="2" fillId="0" borderId="5" xfId="2" applyNumberFormat="1" applyBorder="1" applyAlignment="1">
      <alignment horizontal="center"/>
    </xf>
    <xf numFmtId="2" fontId="2" fillId="5" borderId="5" xfId="2" applyNumberFormat="1" applyFill="1" applyBorder="1" applyAlignment="1">
      <alignment horizontal="center"/>
    </xf>
    <xf numFmtId="2" fontId="2" fillId="3" borderId="4" xfId="2" applyNumberFormat="1" applyFill="1" applyBorder="1" applyAlignment="1">
      <alignment horizontal="center"/>
    </xf>
    <xf numFmtId="2" fontId="2" fillId="0" borderId="4" xfId="2" applyNumberFormat="1" applyBorder="1" applyAlignment="1">
      <alignment horizontal="center"/>
    </xf>
    <xf numFmtId="2" fontId="2" fillId="5" borderId="4" xfId="2" applyNumberFormat="1" applyFill="1" applyBorder="1" applyAlignment="1">
      <alignment horizontal="center"/>
    </xf>
    <xf numFmtId="164" fontId="5" fillId="0" borderId="1" xfId="0" applyNumberFormat="1" applyFont="1" applyBorder="1" applyAlignment="1">
      <alignment horizontal="left"/>
    </xf>
    <xf numFmtId="165" fontId="5" fillId="0" borderId="1" xfId="1" applyNumberFormat="1" applyFont="1" applyBorder="1"/>
    <xf numFmtId="0" fontId="2" fillId="0" borderId="0" xfId="0" applyFont="1"/>
    <xf numFmtId="3" fontId="10" fillId="3" borderId="1" xfId="2" applyNumberFormat="1" applyFont="1" applyFill="1" applyBorder="1" applyAlignment="1">
      <alignment horizontal="center" vertical="center"/>
    </xf>
    <xf numFmtId="2" fontId="2" fillId="3" borderId="5" xfId="3" applyNumberFormat="1" applyFont="1" applyFill="1" applyBorder="1" applyAlignment="1">
      <alignment horizontal="center"/>
    </xf>
    <xf numFmtId="2" fontId="2" fillId="3" borderId="4" xfId="3" applyNumberFormat="1" applyFont="1" applyFill="1" applyBorder="1" applyAlignment="1">
      <alignment horizontal="center"/>
    </xf>
    <xf numFmtId="2" fontId="2" fillId="3" borderId="1" xfId="3" applyNumberFormat="1" applyFont="1" applyFill="1" applyBorder="1" applyAlignment="1">
      <alignment horizontal="center"/>
    </xf>
    <xf numFmtId="1" fontId="2" fillId="3" borderId="1" xfId="3" applyNumberFormat="1" applyFont="1" applyFill="1" applyBorder="1" applyAlignment="1">
      <alignment horizontal="center"/>
    </xf>
    <xf numFmtId="3" fontId="10" fillId="0" borderId="1" xfId="2" applyNumberFormat="1" applyFont="1" applyBorder="1" applyAlignment="1">
      <alignment horizontal="center" vertical="center"/>
    </xf>
    <xf numFmtId="2" fontId="2" fillId="0" borderId="5" xfId="3" applyNumberFormat="1" applyFont="1" applyBorder="1" applyAlignment="1">
      <alignment horizontal="center"/>
    </xf>
    <xf numFmtId="2" fontId="2" fillId="0" borderId="4" xfId="3" applyNumberFormat="1" applyFont="1" applyBorder="1" applyAlignment="1">
      <alignment horizontal="center"/>
    </xf>
    <xf numFmtId="2" fontId="2" fillId="0" borderId="1" xfId="3" applyNumberFormat="1" applyFont="1" applyBorder="1" applyAlignment="1">
      <alignment horizontal="center"/>
    </xf>
    <xf numFmtId="3" fontId="10" fillId="0" borderId="1" xfId="2" applyNumberFormat="1" applyFont="1" applyBorder="1" applyAlignment="1">
      <alignment horizontal="center"/>
    </xf>
    <xf numFmtId="165" fontId="5" fillId="0" borderId="0" xfId="1" applyNumberFormat="1" applyFont="1" applyBorder="1"/>
    <xf numFmtId="165" fontId="4" fillId="0" borderId="0" xfId="1" applyNumberFormat="1" applyFont="1" applyBorder="1"/>
    <xf numFmtId="0" fontId="2" fillId="0" borderId="0" xfId="2" applyAlignment="1">
      <alignment horizontal="center"/>
    </xf>
    <xf numFmtId="43" fontId="6" fillId="0" borderId="0" xfId="1" applyFont="1"/>
    <xf numFmtId="2" fontId="5" fillId="0" borderId="3" xfId="2" applyNumberFormat="1" applyFont="1" applyBorder="1" applyAlignment="1">
      <alignment horizontal="center"/>
    </xf>
    <xf numFmtId="43" fontId="2" fillId="3" borderId="5" xfId="1" applyFont="1" applyFill="1" applyBorder="1" applyAlignment="1">
      <alignment horizontal="center"/>
    </xf>
    <xf numFmtId="43" fontId="2" fillId="0" borderId="5" xfId="1" applyFont="1" applyBorder="1" applyAlignment="1">
      <alignment horizontal="center"/>
    </xf>
    <xf numFmtId="43" fontId="2" fillId="5" borderId="5" xfId="1" applyFont="1" applyFill="1" applyBorder="1" applyAlignment="1">
      <alignment horizontal="center"/>
    </xf>
    <xf numFmtId="0" fontId="5" fillId="0" borderId="0" xfId="2" applyFont="1"/>
    <xf numFmtId="164" fontId="11" fillId="0" borderId="1" xfId="0" applyNumberFormat="1" applyFont="1" applyBorder="1" applyAlignment="1">
      <alignment horizontal="left"/>
    </xf>
    <xf numFmtId="165" fontId="11" fillId="0" borderId="1" xfId="1" applyNumberFormat="1" applyFont="1" applyBorder="1"/>
    <xf numFmtId="43" fontId="9" fillId="3" borderId="1" xfId="1" applyFont="1" applyFill="1" applyBorder="1" applyAlignment="1">
      <alignment horizontal="center"/>
    </xf>
    <xf numFmtId="43" fontId="9" fillId="0" borderId="1" xfId="1" applyFont="1" applyBorder="1" applyAlignment="1">
      <alignment horizontal="center"/>
    </xf>
    <xf numFmtId="49" fontId="12" fillId="0" borderId="0" xfId="2" applyNumberFormat="1" applyFont="1"/>
    <xf numFmtId="164" fontId="2" fillId="0" borderId="0" xfId="2" applyNumberFormat="1"/>
    <xf numFmtId="0" fontId="13" fillId="6" borderId="10" xfId="0" applyFont="1" applyFill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3" fillId="6" borderId="11" xfId="0" applyFont="1" applyFill="1" applyBorder="1" applyAlignment="1">
      <alignment vertical="center"/>
    </xf>
    <xf numFmtId="3" fontId="14" fillId="0" borderId="9" xfId="0" applyNumberFormat="1" applyFont="1" applyBorder="1" applyAlignment="1">
      <alignment horizontal="right" vertical="center"/>
    </xf>
    <xf numFmtId="4" fontId="0" fillId="0" borderId="1" xfId="0" applyNumberFormat="1" applyBorder="1"/>
    <xf numFmtId="165" fontId="2" fillId="0" borderId="0" xfId="2" applyNumberFormat="1"/>
    <xf numFmtId="0" fontId="5" fillId="2" borderId="1" xfId="2" applyFont="1" applyFill="1" applyBorder="1" applyAlignment="1">
      <alignment horizontal="center" wrapText="1"/>
    </xf>
    <xf numFmtId="0" fontId="19" fillId="8" borderId="12" xfId="0" applyFont="1" applyFill="1" applyBorder="1" applyAlignment="1">
      <alignment horizontal="center" vertical="center" wrapText="1"/>
    </xf>
    <xf numFmtId="0" fontId="19" fillId="9" borderId="10" xfId="0" applyFont="1" applyFill="1" applyBorder="1" applyAlignment="1">
      <alignment horizontal="right" vertical="center"/>
    </xf>
    <xf numFmtId="10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vertical="center"/>
    </xf>
    <xf numFmtId="10" fontId="22" fillId="0" borderId="13" xfId="0" applyNumberFormat="1" applyFont="1" applyBorder="1" applyAlignment="1">
      <alignment horizontal="center" vertical="center"/>
    </xf>
    <xf numFmtId="0" fontId="19" fillId="9" borderId="13" xfId="0" applyFont="1" applyFill="1" applyBorder="1" applyAlignment="1">
      <alignment horizontal="right" vertical="center"/>
    </xf>
    <xf numFmtId="10" fontId="23" fillId="10" borderId="13" xfId="0" applyNumberFormat="1" applyFont="1" applyFill="1" applyBorder="1" applyAlignment="1">
      <alignment horizontal="center" vertical="center"/>
    </xf>
    <xf numFmtId="10" fontId="19" fillId="10" borderId="13" xfId="0" applyNumberFormat="1" applyFont="1" applyFill="1" applyBorder="1" applyAlignment="1">
      <alignment horizontal="center" vertical="center"/>
    </xf>
    <xf numFmtId="10" fontId="21" fillId="10" borderId="13" xfId="0" applyNumberFormat="1" applyFont="1" applyFill="1" applyBorder="1" applyAlignment="1">
      <alignment horizontal="center" vertical="center"/>
    </xf>
    <xf numFmtId="10" fontId="22" fillId="10" borderId="13" xfId="0" applyNumberFormat="1" applyFont="1" applyFill="1" applyBorder="1" applyAlignment="1">
      <alignment horizontal="center" vertical="center"/>
    </xf>
    <xf numFmtId="0" fontId="23" fillId="9" borderId="13" xfId="0" applyFont="1" applyFill="1" applyBorder="1" applyAlignment="1">
      <alignment vertical="center"/>
    </xf>
    <xf numFmtId="0" fontId="21" fillId="0" borderId="13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top"/>
    </xf>
    <xf numFmtId="10" fontId="22" fillId="1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top"/>
    </xf>
    <xf numFmtId="0" fontId="18" fillId="8" borderId="14" xfId="0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0" borderId="1" xfId="0" applyFont="1" applyBorder="1" applyAlignment="1">
      <alignment horizontal="left" vertical="center"/>
    </xf>
    <xf numFmtId="0" fontId="0" fillId="0" borderId="1" xfId="0" applyBorder="1"/>
    <xf numFmtId="3" fontId="0" fillId="0" borderId="1" xfId="0" applyNumberFormat="1" applyBorder="1" applyAlignment="1">
      <alignment horizontal="center" vertical="top"/>
    </xf>
    <xf numFmtId="0" fontId="21" fillId="0" borderId="1" xfId="0" applyFont="1" applyBorder="1" applyAlignment="1">
      <alignment vertical="center"/>
    </xf>
    <xf numFmtId="0" fontId="23" fillId="9" borderId="1" xfId="0" applyFont="1" applyFill="1" applyBorder="1" applyAlignment="1">
      <alignment vertical="center"/>
    </xf>
    <xf numFmtId="3" fontId="0" fillId="0" borderId="1" xfId="0" applyNumberFormat="1" applyBorder="1"/>
    <xf numFmtId="0" fontId="19" fillId="9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  <xf numFmtId="43" fontId="2" fillId="0" borderId="0" xfId="2" applyNumberFormat="1"/>
    <xf numFmtId="43" fontId="6" fillId="0" borderId="0" xfId="4" applyNumberFormat="1"/>
    <xf numFmtId="165" fontId="6" fillId="0" borderId="0" xfId="4" applyNumberFormat="1"/>
    <xf numFmtId="0" fontId="24" fillId="0" borderId="22" xfId="0" applyFont="1" applyBorder="1" applyAlignment="1">
      <alignment vertical="center"/>
    </xf>
    <xf numFmtId="0" fontId="13" fillId="9" borderId="21" xfId="0" applyFont="1" applyFill="1" applyBorder="1" applyAlignment="1">
      <alignment horizontal="right" vertical="center"/>
    </xf>
    <xf numFmtId="10" fontId="24" fillId="0" borderId="22" xfId="0" applyNumberFormat="1" applyFont="1" applyBorder="1" applyAlignment="1">
      <alignment horizontal="center" vertical="center"/>
    </xf>
    <xf numFmtId="10" fontId="25" fillId="0" borderId="22" xfId="0" applyNumberFormat="1" applyFont="1" applyBorder="1" applyAlignment="1">
      <alignment horizontal="center" vertical="center"/>
    </xf>
    <xf numFmtId="0" fontId="13" fillId="9" borderId="22" xfId="0" applyFont="1" applyFill="1" applyBorder="1" applyAlignment="1">
      <alignment horizontal="right" vertical="center"/>
    </xf>
    <xf numFmtId="10" fontId="24" fillId="10" borderId="22" xfId="0" applyNumberFormat="1" applyFont="1" applyFill="1" applyBorder="1" applyAlignment="1">
      <alignment horizontal="center" vertical="center"/>
    </xf>
    <xf numFmtId="10" fontId="25" fillId="10" borderId="23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9" borderId="1" xfId="0" applyFont="1" applyFill="1" applyBorder="1" applyAlignment="1">
      <alignment vertical="center"/>
    </xf>
    <xf numFmtId="0" fontId="26" fillId="0" borderId="22" xfId="0" applyFont="1" applyBorder="1" applyAlignment="1">
      <alignment vertical="center"/>
    </xf>
    <xf numFmtId="0" fontId="26" fillId="0" borderId="17" xfId="0" applyFont="1" applyBorder="1" applyAlignment="1">
      <alignment horizontal="left" vertical="top"/>
    </xf>
    <xf numFmtId="0" fontId="27" fillId="9" borderId="16" xfId="0" applyFont="1" applyFill="1" applyBorder="1" applyAlignment="1">
      <alignment horizontal="right" vertical="center"/>
    </xf>
    <xf numFmtId="10" fontId="26" fillId="0" borderId="17" xfId="0" applyNumberFormat="1" applyFont="1" applyBorder="1" applyAlignment="1">
      <alignment horizontal="center" vertical="center"/>
    </xf>
    <xf numFmtId="10" fontId="27" fillId="0" borderId="17" xfId="0" applyNumberFormat="1" applyFont="1" applyBorder="1" applyAlignment="1">
      <alignment horizontal="center" vertical="center"/>
    </xf>
    <xf numFmtId="0" fontId="27" fillId="9" borderId="17" xfId="0" applyFont="1" applyFill="1" applyBorder="1" applyAlignment="1">
      <alignment horizontal="right" vertical="center"/>
    </xf>
    <xf numFmtId="10" fontId="27" fillId="0" borderId="18" xfId="0" applyNumberFormat="1" applyFont="1" applyBorder="1" applyAlignment="1">
      <alignment horizontal="center" vertical="center"/>
    </xf>
    <xf numFmtId="0" fontId="27" fillId="9" borderId="19" xfId="0" applyFont="1" applyFill="1" applyBorder="1" applyAlignment="1">
      <alignment horizontal="right" vertical="center"/>
    </xf>
    <xf numFmtId="10" fontId="26" fillId="10" borderId="1" xfId="0" applyNumberFormat="1" applyFont="1" applyFill="1" applyBorder="1" applyAlignment="1">
      <alignment horizontal="center" vertical="center"/>
    </xf>
    <xf numFmtId="10" fontId="27" fillId="10" borderId="1" xfId="0" applyNumberFormat="1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right" vertical="center"/>
    </xf>
    <xf numFmtId="10" fontId="26" fillId="0" borderId="1" xfId="0" applyNumberFormat="1" applyFont="1" applyBorder="1" applyAlignment="1">
      <alignment horizontal="center" vertical="center"/>
    </xf>
    <xf numFmtId="10" fontId="27" fillId="0" borderId="20" xfId="0" applyNumberFormat="1" applyFont="1" applyBorder="1" applyAlignment="1">
      <alignment horizontal="center" vertical="center"/>
    </xf>
    <xf numFmtId="10" fontId="27" fillId="10" borderId="20" xfId="0" applyNumberFormat="1" applyFont="1" applyFill="1" applyBorder="1" applyAlignment="1">
      <alignment horizontal="center" vertical="center"/>
    </xf>
    <xf numFmtId="10" fontId="27" fillId="0" borderId="1" xfId="0" applyNumberFormat="1" applyFont="1" applyBorder="1" applyAlignment="1">
      <alignment horizontal="center" vertical="center"/>
    </xf>
    <xf numFmtId="0" fontId="27" fillId="9" borderId="16" xfId="0" applyFont="1" applyFill="1" applyBorder="1" applyAlignment="1">
      <alignment horizontal="left" vertical="center"/>
    </xf>
    <xf numFmtId="0" fontId="26" fillId="0" borderId="17" xfId="0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7" fillId="9" borderId="17" xfId="0" applyFont="1" applyFill="1" applyBorder="1" applyAlignment="1">
      <alignment horizontal="left" vertical="center"/>
    </xf>
    <xf numFmtId="0" fontId="26" fillId="0" borderId="18" xfId="0" applyFont="1" applyBorder="1"/>
    <xf numFmtId="0" fontId="27" fillId="9" borderId="19" xfId="0" applyFont="1" applyFill="1" applyBorder="1" applyAlignment="1">
      <alignment horizontal="left" vertical="center"/>
    </xf>
    <xf numFmtId="3" fontId="26" fillId="0" borderId="1" xfId="0" applyNumberFormat="1" applyFont="1" applyBorder="1" applyAlignment="1">
      <alignment horizontal="center" vertical="top"/>
    </xf>
    <xf numFmtId="3" fontId="26" fillId="0" borderId="1" xfId="0" applyNumberFormat="1" applyFont="1" applyBorder="1" applyAlignment="1">
      <alignment horizontal="center" vertical="center"/>
    </xf>
    <xf numFmtId="0" fontId="27" fillId="9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0" fontId="26" fillId="0" borderId="20" xfId="0" applyFont="1" applyBorder="1"/>
    <xf numFmtId="3" fontId="26" fillId="0" borderId="1" xfId="0" applyNumberFormat="1" applyFont="1" applyBorder="1" applyAlignment="1">
      <alignment horizontal="center"/>
    </xf>
    <xf numFmtId="3" fontId="26" fillId="0" borderId="20" xfId="0" applyNumberFormat="1" applyFont="1" applyBorder="1"/>
    <xf numFmtId="0" fontId="27" fillId="9" borderId="21" xfId="0" applyFont="1" applyFill="1" applyBorder="1" applyAlignment="1">
      <alignment horizontal="left" vertical="center"/>
    </xf>
    <xf numFmtId="3" fontId="26" fillId="0" borderId="22" xfId="0" applyNumberFormat="1" applyFont="1" applyBorder="1" applyAlignment="1">
      <alignment horizontal="center" vertical="top"/>
    </xf>
    <xf numFmtId="3" fontId="26" fillId="0" borderId="22" xfId="0" applyNumberFormat="1" applyFont="1" applyBorder="1" applyAlignment="1">
      <alignment horizontal="center" vertical="center"/>
    </xf>
    <xf numFmtId="0" fontId="27" fillId="9" borderId="22" xfId="0" applyFont="1" applyFill="1" applyBorder="1" applyAlignment="1">
      <alignment horizontal="left" vertical="center"/>
    </xf>
    <xf numFmtId="3" fontId="26" fillId="0" borderId="22" xfId="0" applyNumberFormat="1" applyFont="1" applyBorder="1" applyAlignment="1">
      <alignment horizontal="center"/>
    </xf>
    <xf numFmtId="3" fontId="26" fillId="0" borderId="23" xfId="0" applyNumberFormat="1" applyFont="1" applyBorder="1"/>
    <xf numFmtId="0" fontId="0" fillId="0" borderId="0" xfId="0" applyAlignment="1">
      <alignment horizontal="center"/>
    </xf>
    <xf numFmtId="0" fontId="19" fillId="7" borderId="9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28" fillId="0" borderId="9" xfId="0" applyFont="1" applyBorder="1" applyAlignment="1">
      <alignment horizontal="left"/>
    </xf>
    <xf numFmtId="0" fontId="2" fillId="2" borderId="2" xfId="2" applyFill="1" applyBorder="1" applyAlignment="1">
      <alignment horizontal="center" wrapText="1"/>
    </xf>
    <xf numFmtId="0" fontId="2" fillId="2" borderId="3" xfId="2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wrapText="1"/>
    </xf>
    <xf numFmtId="0" fontId="5" fillId="2" borderId="2" xfId="2" applyFont="1" applyFill="1" applyBorder="1" applyAlignment="1">
      <alignment horizont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/>
    </xf>
  </cellXfs>
  <cellStyles count="5">
    <cellStyle name="Čárka" xfId="1" builtinId="3"/>
    <cellStyle name="Normální" xfId="0" builtinId="0"/>
    <cellStyle name="Normální 2" xfId="2"/>
    <cellStyle name="Normální 3" xfId="4"/>
    <cellStyle name="Procent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ha.mmr.cz\dfs\SF\IROP2\15%20-%20Finan&#269;n&#237;%20toky%20a%20alokace\1%20-%20Alokace%20IROP\ALOKACE%20IROP2%20OFICIALNI\Aloka&#269;n&#237;%20model_IROP_leden_2021_v7_pro%20PD%20IRO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aha.mmr.cz\dfs\SF\IROP2\16%20-%20Monitoring%20a%20IS\3%20-%20Indik&#225;tory\P&#345;&#237;prava%20indik&#225;torov&#233;%20soustavy\Kopie%20-%20DRAFT%20indik&#225;torov&#233;%20soustavy%20IROP2_2019_V0.3%20-%20n&#225;vrhov&#225;%20&#269;&#225;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Aktivity - rozpad indiv. a  ITI"/>
      <sheetName val="alokace zjedn. AP - po aktivit."/>
      <sheetName val="rozpad do aktivit v % + klima"/>
      <sheetName val="SC propojené"/>
      <sheetName val="výpočty - převod do CP2 + VSUM"/>
      <sheetName val="různé"/>
      <sheetName val="KR nepapojené pro FP"/>
      <sheetName val="model_ITI (2)"/>
      <sheetName val="model_ITI (3)"/>
      <sheetName val="model_ITI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ROP2 - návrh indikátorů"/>
      <sheetName val="Indi VR (IROP 2021)_draft 1"/>
      <sheetName val="finanční tabulky"/>
      <sheetName val="klima pro nk"/>
      <sheetName val="rozpad EFRR  do aktivit + klima"/>
      <sheetName val="KI"/>
      <sheetName val="finanční tabulky -původní alok."/>
    </sheetNames>
    <sheetDataSet>
      <sheetData sheetId="0"/>
      <sheetData sheetId="1"/>
      <sheetData sheetId="2">
        <row r="28">
          <cell r="D28">
            <v>11</v>
          </cell>
          <cell r="L28">
            <v>144718155</v>
          </cell>
        </row>
        <row r="29">
          <cell r="D29">
            <v>11</v>
          </cell>
          <cell r="L29">
            <v>180897693.75</v>
          </cell>
        </row>
        <row r="30">
          <cell r="D30">
            <v>11</v>
          </cell>
          <cell r="L30">
            <v>36179538.75</v>
          </cell>
        </row>
        <row r="31">
          <cell r="D31">
            <v>12</v>
          </cell>
          <cell r="L31">
            <v>144718155</v>
          </cell>
        </row>
        <row r="32">
          <cell r="D32">
            <v>12</v>
          </cell>
          <cell r="L32">
            <v>180897693.75</v>
          </cell>
        </row>
        <row r="33">
          <cell r="D33">
            <v>12</v>
          </cell>
          <cell r="L33">
            <v>36179538.75</v>
          </cell>
        </row>
        <row r="34">
          <cell r="L34">
            <v>54645575.328000009</v>
          </cell>
        </row>
        <row r="35">
          <cell r="L35">
            <v>68306969.160000011</v>
          </cell>
        </row>
        <row r="36">
          <cell r="L36">
            <v>13661393.832000002</v>
          </cell>
        </row>
        <row r="37">
          <cell r="L37">
            <v>54645575.328000009</v>
          </cell>
        </row>
        <row r="38">
          <cell r="L38">
            <v>68306969.160000011</v>
          </cell>
        </row>
        <row r="39">
          <cell r="L39">
            <v>13661393.832000002</v>
          </cell>
        </row>
        <row r="40">
          <cell r="L40">
            <v>54645575.328000009</v>
          </cell>
        </row>
        <row r="41">
          <cell r="L41">
            <v>68306969.160000011</v>
          </cell>
        </row>
        <row r="42">
          <cell r="L42">
            <v>13661393.832000002</v>
          </cell>
        </row>
        <row r="43">
          <cell r="L43">
            <v>54645575.328000009</v>
          </cell>
        </row>
        <row r="44">
          <cell r="L44">
            <v>68306969.160000011</v>
          </cell>
        </row>
        <row r="45">
          <cell r="L45">
            <v>13661393.832000002</v>
          </cell>
        </row>
        <row r="46">
          <cell r="L46">
            <v>54645575.328000009</v>
          </cell>
        </row>
        <row r="47">
          <cell r="L47">
            <v>68306969.160000011</v>
          </cell>
        </row>
        <row r="48">
          <cell r="L48">
            <v>13661393.832000002</v>
          </cell>
        </row>
        <row r="49">
          <cell r="L49">
            <v>120405504.96000002</v>
          </cell>
        </row>
        <row r="50">
          <cell r="L50">
            <v>150506881.20000002</v>
          </cell>
        </row>
        <row r="51">
          <cell r="L51">
            <v>30101376.240000006</v>
          </cell>
        </row>
        <row r="52">
          <cell r="L52">
            <v>19293824.424600005</v>
          </cell>
        </row>
        <row r="53">
          <cell r="L53">
            <v>24121622.07540001</v>
          </cell>
        </row>
        <row r="54">
          <cell r="L54">
            <v>19293824.424600005</v>
          </cell>
        </row>
        <row r="55">
          <cell r="L55">
            <v>24121622.07540001</v>
          </cell>
        </row>
        <row r="56">
          <cell r="L56">
            <v>19293824.424600005</v>
          </cell>
        </row>
        <row r="57">
          <cell r="L57">
            <v>24121622.07540001</v>
          </cell>
        </row>
        <row r="58">
          <cell r="L58">
            <v>19293824.424600005</v>
          </cell>
        </row>
        <row r="59">
          <cell r="L59">
            <v>24121622.07540001</v>
          </cell>
        </row>
        <row r="60">
          <cell r="D60">
            <v>58</v>
          </cell>
          <cell r="L60">
            <v>53593956.734999999</v>
          </cell>
        </row>
        <row r="61">
          <cell r="D61">
            <v>58</v>
          </cell>
          <cell r="L61">
            <v>67004505.765000008</v>
          </cell>
        </row>
        <row r="62">
          <cell r="D62">
            <v>62</v>
          </cell>
          <cell r="L62">
            <v>53593956.734999999</v>
          </cell>
        </row>
        <row r="63">
          <cell r="D63">
            <v>62</v>
          </cell>
          <cell r="L63">
            <v>67004505.765000008</v>
          </cell>
        </row>
        <row r="64">
          <cell r="L64">
            <v>66853292.803053245</v>
          </cell>
        </row>
        <row r="65">
          <cell r="L65">
            <v>83581659.499046773</v>
          </cell>
        </row>
        <row r="66">
          <cell r="L66">
            <v>66853292.803053245</v>
          </cell>
        </row>
        <row r="67">
          <cell r="L67">
            <v>83581659.499046773</v>
          </cell>
        </row>
        <row r="68">
          <cell r="L68">
            <v>66853292.803053245</v>
          </cell>
        </row>
        <row r="69">
          <cell r="L69">
            <v>83581659.499046773</v>
          </cell>
        </row>
        <row r="70">
          <cell r="L70">
            <v>69193849.923000008</v>
          </cell>
        </row>
        <row r="71">
          <cell r="L71">
            <v>86507882.577000022</v>
          </cell>
        </row>
        <row r="72">
          <cell r="L72">
            <v>69193849.923000008</v>
          </cell>
        </row>
        <row r="73">
          <cell r="L73">
            <v>86507882.577000022</v>
          </cell>
        </row>
        <row r="74">
          <cell r="L74">
            <v>34596924.961500004</v>
          </cell>
        </row>
        <row r="75">
          <cell r="L75">
            <v>43253941.288500011</v>
          </cell>
        </row>
        <row r="76">
          <cell r="L76">
            <v>34596924.961500004</v>
          </cell>
        </row>
        <row r="77">
          <cell r="L77">
            <v>43253941.288500011</v>
          </cell>
        </row>
        <row r="78">
          <cell r="L78">
            <v>34596924.961500004</v>
          </cell>
        </row>
        <row r="79">
          <cell r="L79">
            <v>43253941.288500011</v>
          </cell>
        </row>
        <row r="80">
          <cell r="L80">
            <v>34596924.961500004</v>
          </cell>
        </row>
        <row r="81">
          <cell r="L81">
            <v>43253941.288500011</v>
          </cell>
        </row>
        <row r="82">
          <cell r="L82">
            <v>58497216.137800001</v>
          </cell>
        </row>
        <row r="83">
          <cell r="L83">
            <v>73134683.362200007</v>
          </cell>
        </row>
        <row r="84">
          <cell r="L84">
            <v>58497216.137800001</v>
          </cell>
        </row>
        <row r="85">
          <cell r="L85">
            <v>73134683.362200007</v>
          </cell>
        </row>
        <row r="86">
          <cell r="L86">
            <v>133707922.5372</v>
          </cell>
        </row>
        <row r="87">
          <cell r="L87">
            <v>167164990.46280003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7" workbookViewId="0">
      <selection activeCell="L4" sqref="L4"/>
    </sheetView>
  </sheetViews>
  <sheetFormatPr defaultRowHeight="12.75" x14ac:dyDescent="0.2"/>
  <cols>
    <col min="2" max="2" width="19.28515625" customWidth="1"/>
    <col min="3" max="3" width="14.85546875" customWidth="1"/>
    <col min="4" max="4" width="20.7109375" customWidth="1"/>
    <col min="5" max="5" width="11.42578125" customWidth="1"/>
    <col min="6" max="6" width="15.140625" customWidth="1"/>
    <col min="7" max="7" width="15" customWidth="1"/>
    <col min="8" max="8" width="14.5703125" customWidth="1"/>
    <col min="9" max="9" width="13.140625" customWidth="1"/>
  </cols>
  <sheetData>
    <row r="1" spans="1:9" ht="39" customHeight="1" thickBot="1" x14ac:dyDescent="0.3">
      <c r="A1" s="159" t="s">
        <v>80</v>
      </c>
      <c r="B1" s="159"/>
      <c r="C1" s="159"/>
      <c r="D1" s="159"/>
      <c r="E1" s="159"/>
      <c r="F1" s="159"/>
      <c r="G1" s="159"/>
      <c r="H1" s="159"/>
    </row>
    <row r="2" spans="1:9" ht="60.75" thickBot="1" x14ac:dyDescent="0.25">
      <c r="A2" s="95" t="s">
        <v>57</v>
      </c>
      <c r="B2" s="96" t="s">
        <v>58</v>
      </c>
      <c r="C2" s="96" t="s">
        <v>59</v>
      </c>
      <c r="D2" s="96" t="s">
        <v>60</v>
      </c>
      <c r="E2" s="96" t="s">
        <v>57</v>
      </c>
      <c r="F2" s="96" t="s">
        <v>61</v>
      </c>
      <c r="G2" s="96" t="s">
        <v>59</v>
      </c>
      <c r="H2" s="96" t="s">
        <v>62</v>
      </c>
    </row>
    <row r="3" spans="1:9" x14ac:dyDescent="0.2">
      <c r="A3" s="124">
        <v>2021</v>
      </c>
      <c r="B3" s="125">
        <v>0</v>
      </c>
      <c r="C3" s="120">
        <v>2021</v>
      </c>
      <c r="D3" s="126">
        <v>0</v>
      </c>
      <c r="E3" s="127">
        <v>2021</v>
      </c>
      <c r="F3" s="125">
        <v>0</v>
      </c>
      <c r="G3" s="123">
        <v>2021</v>
      </c>
      <c r="H3" s="128">
        <v>0</v>
      </c>
    </row>
    <row r="4" spans="1:9" x14ac:dyDescent="0.2">
      <c r="A4" s="129">
        <v>2022</v>
      </c>
      <c r="B4" s="130">
        <v>0.17080000000000001</v>
      </c>
      <c r="C4" s="119" t="s">
        <v>63</v>
      </c>
      <c r="D4" s="131">
        <v>0.17080000000000001</v>
      </c>
      <c r="E4" s="132">
        <v>2022</v>
      </c>
      <c r="F4" s="133">
        <v>0</v>
      </c>
      <c r="G4" s="119" t="s">
        <v>63</v>
      </c>
      <c r="H4" s="134">
        <v>0</v>
      </c>
    </row>
    <row r="5" spans="1:9" x14ac:dyDescent="0.2">
      <c r="A5" s="129">
        <v>2023</v>
      </c>
      <c r="B5" s="130">
        <v>0.1736</v>
      </c>
      <c r="C5" s="119" t="s">
        <v>64</v>
      </c>
      <c r="D5" s="131">
        <v>0.34439999999999998</v>
      </c>
      <c r="E5" s="132">
        <v>2023</v>
      </c>
      <c r="F5" s="133">
        <v>0</v>
      </c>
      <c r="G5" s="119" t="s">
        <v>64</v>
      </c>
      <c r="H5" s="134">
        <v>0</v>
      </c>
    </row>
    <row r="6" spans="1:9" x14ac:dyDescent="0.2">
      <c r="A6" s="129">
        <v>2024</v>
      </c>
      <c r="B6" s="130">
        <v>0.1764</v>
      </c>
      <c r="C6" s="119" t="s">
        <v>65</v>
      </c>
      <c r="D6" s="131">
        <v>0.52080000000000004</v>
      </c>
      <c r="E6" s="132">
        <v>2024</v>
      </c>
      <c r="F6" s="133">
        <v>0</v>
      </c>
      <c r="G6" s="119" t="s">
        <v>65</v>
      </c>
      <c r="H6" s="134">
        <v>0</v>
      </c>
    </row>
    <row r="7" spans="1:9" x14ac:dyDescent="0.2">
      <c r="A7" s="129">
        <v>2025</v>
      </c>
      <c r="B7" s="130">
        <v>0.1792</v>
      </c>
      <c r="C7" s="121" t="s">
        <v>66</v>
      </c>
      <c r="D7" s="131">
        <v>0.7</v>
      </c>
      <c r="E7" s="132">
        <v>2025</v>
      </c>
      <c r="F7" s="130">
        <v>0.17080000000000001</v>
      </c>
      <c r="G7" s="121" t="s">
        <v>66</v>
      </c>
      <c r="H7" s="135">
        <v>0.17080000000000001</v>
      </c>
    </row>
    <row r="8" spans="1:9" x14ac:dyDescent="0.2">
      <c r="A8" s="129">
        <v>2026</v>
      </c>
      <c r="B8" s="130">
        <v>0.14849999999999999</v>
      </c>
      <c r="C8" s="119" t="s">
        <v>67</v>
      </c>
      <c r="D8" s="131">
        <v>0.84850000000000003</v>
      </c>
      <c r="E8" s="132">
        <v>2026</v>
      </c>
      <c r="F8" s="130">
        <v>0.1736</v>
      </c>
      <c r="G8" s="119" t="s">
        <v>67</v>
      </c>
      <c r="H8" s="135">
        <v>0.34439999999999998</v>
      </c>
    </row>
    <row r="9" spans="1:9" x14ac:dyDescent="0.2">
      <c r="A9" s="129">
        <v>2027</v>
      </c>
      <c r="B9" s="130">
        <v>0.1515</v>
      </c>
      <c r="C9" s="119" t="s">
        <v>68</v>
      </c>
      <c r="D9" s="131">
        <v>1</v>
      </c>
      <c r="E9" s="132">
        <v>2027</v>
      </c>
      <c r="F9" s="130">
        <v>0.1764</v>
      </c>
      <c r="G9" s="119" t="s">
        <v>68</v>
      </c>
      <c r="H9" s="135">
        <v>0.52080000000000004</v>
      </c>
    </row>
    <row r="10" spans="1:9" x14ac:dyDescent="0.2">
      <c r="A10" s="129">
        <v>2028</v>
      </c>
      <c r="B10" s="133">
        <v>0</v>
      </c>
      <c r="C10" s="119" t="s">
        <v>69</v>
      </c>
      <c r="D10" s="136">
        <v>0</v>
      </c>
      <c r="E10" s="132">
        <v>2028</v>
      </c>
      <c r="F10" s="130">
        <v>0.1792</v>
      </c>
      <c r="G10" s="119" t="s">
        <v>69</v>
      </c>
      <c r="H10" s="135">
        <v>0.7</v>
      </c>
    </row>
    <row r="11" spans="1:9" x14ac:dyDescent="0.2">
      <c r="A11" s="129">
        <v>2029</v>
      </c>
      <c r="B11" s="133">
        <v>0</v>
      </c>
      <c r="C11" s="119" t="s">
        <v>70</v>
      </c>
      <c r="D11" s="136">
        <v>0</v>
      </c>
      <c r="E11" s="132">
        <v>2029</v>
      </c>
      <c r="F11" s="130">
        <v>0.3</v>
      </c>
      <c r="G11" s="119" t="s">
        <v>70</v>
      </c>
      <c r="H11" s="135">
        <v>1</v>
      </c>
    </row>
    <row r="12" spans="1:9" ht="13.5" thickBot="1" x14ac:dyDescent="0.25">
      <c r="A12" s="113"/>
      <c r="B12" s="114"/>
      <c r="C12" s="112"/>
      <c r="D12" s="115"/>
      <c r="E12" s="116"/>
      <c r="F12" s="117"/>
      <c r="G12" s="112"/>
      <c r="H12" s="118"/>
      <c r="I12" s="156"/>
    </row>
    <row r="13" spans="1:9" ht="13.5" thickBot="1" x14ac:dyDescent="0.25">
      <c r="A13" s="157" t="s">
        <v>71</v>
      </c>
      <c r="B13" s="158"/>
      <c r="C13" s="158"/>
      <c r="D13" s="158"/>
      <c r="E13" s="158"/>
      <c r="F13" s="158"/>
      <c r="G13" s="158"/>
      <c r="H13" s="158"/>
      <c r="I13" s="94">
        <v>922787764.66999996</v>
      </c>
    </row>
    <row r="14" spans="1:9" ht="60.75" thickBot="1" x14ac:dyDescent="0.25">
      <c r="A14" s="95" t="s">
        <v>57</v>
      </c>
      <c r="B14" s="96" t="s">
        <v>77</v>
      </c>
      <c r="C14" s="96" t="s">
        <v>59</v>
      </c>
      <c r="D14" s="96" t="s">
        <v>78</v>
      </c>
      <c r="E14" s="96" t="s">
        <v>57</v>
      </c>
      <c r="F14" s="96" t="s">
        <v>72</v>
      </c>
      <c r="G14" s="96" t="s">
        <v>59</v>
      </c>
      <c r="H14" s="96" t="s">
        <v>73</v>
      </c>
    </row>
    <row r="15" spans="1:9" x14ac:dyDescent="0.2">
      <c r="A15" s="137">
        <v>2021</v>
      </c>
      <c r="B15" s="138">
        <v>0</v>
      </c>
      <c r="C15" s="120">
        <v>2021</v>
      </c>
      <c r="D15" s="139">
        <f>B15</f>
        <v>0</v>
      </c>
      <c r="E15" s="140">
        <v>2021</v>
      </c>
      <c r="F15" s="138">
        <v>0</v>
      </c>
      <c r="G15" s="123">
        <v>2021</v>
      </c>
      <c r="H15" s="141">
        <v>0</v>
      </c>
    </row>
    <row r="16" spans="1:9" x14ac:dyDescent="0.2">
      <c r="A16" s="142">
        <v>2022</v>
      </c>
      <c r="B16" s="143">
        <f>B4*$I$13</f>
        <v>157612150.20563599</v>
      </c>
      <c r="C16" s="119" t="s">
        <v>63</v>
      </c>
      <c r="D16" s="144">
        <f>B16</f>
        <v>157612150.20563599</v>
      </c>
      <c r="E16" s="145">
        <v>2022</v>
      </c>
      <c r="F16" s="146">
        <v>0</v>
      </c>
      <c r="G16" s="119" t="s">
        <v>63</v>
      </c>
      <c r="H16" s="147">
        <v>0</v>
      </c>
    </row>
    <row r="17" spans="1:9" x14ac:dyDescent="0.2">
      <c r="A17" s="142">
        <v>2023</v>
      </c>
      <c r="B17" s="143">
        <f t="shared" ref="B17:B23" si="0">B5*$I$13</f>
        <v>160195955.94671199</v>
      </c>
      <c r="C17" s="119" t="s">
        <v>64</v>
      </c>
      <c r="D17" s="144">
        <f>D16+B17</f>
        <v>317808106.15234798</v>
      </c>
      <c r="E17" s="145">
        <v>2023</v>
      </c>
      <c r="F17" s="146">
        <v>0</v>
      </c>
      <c r="G17" s="119" t="s">
        <v>64</v>
      </c>
      <c r="H17" s="147">
        <v>0</v>
      </c>
    </row>
    <row r="18" spans="1:9" x14ac:dyDescent="0.2">
      <c r="A18" s="142">
        <v>2024</v>
      </c>
      <c r="B18" s="143">
        <f t="shared" si="0"/>
        <v>162779761.68778798</v>
      </c>
      <c r="C18" s="119" t="s">
        <v>65</v>
      </c>
      <c r="D18" s="144">
        <f t="shared" ref="D18:D21" si="1">D17+B18</f>
        <v>480587867.84013593</v>
      </c>
      <c r="E18" s="145">
        <v>2024</v>
      </c>
      <c r="F18" s="146">
        <v>0</v>
      </c>
      <c r="G18" s="119" t="s">
        <v>65</v>
      </c>
      <c r="H18" s="147">
        <v>0</v>
      </c>
    </row>
    <row r="19" spans="1:9" x14ac:dyDescent="0.2">
      <c r="A19" s="142">
        <v>2025</v>
      </c>
      <c r="B19" s="143">
        <f t="shared" si="0"/>
        <v>165363567.428864</v>
      </c>
      <c r="C19" s="121" t="s">
        <v>66</v>
      </c>
      <c r="D19" s="144">
        <f t="shared" si="1"/>
        <v>645951435.26899993</v>
      </c>
      <c r="E19" s="145">
        <v>2025</v>
      </c>
      <c r="F19" s="148">
        <f>F7*$I$13</f>
        <v>157612150.20563599</v>
      </c>
      <c r="G19" s="121" t="s">
        <v>66</v>
      </c>
      <c r="H19" s="149">
        <f>F19</f>
        <v>157612150.20563599</v>
      </c>
    </row>
    <row r="20" spans="1:9" x14ac:dyDescent="0.2">
      <c r="A20" s="142">
        <v>2026</v>
      </c>
      <c r="B20" s="143">
        <f t="shared" si="0"/>
        <v>137033983.05349499</v>
      </c>
      <c r="C20" s="119" t="s">
        <v>67</v>
      </c>
      <c r="D20" s="144">
        <f t="shared" si="1"/>
        <v>782985418.32249498</v>
      </c>
      <c r="E20" s="145">
        <v>2026</v>
      </c>
      <c r="F20" s="148">
        <f t="shared" ref="F20:F23" si="2">F8*$I$13</f>
        <v>160195955.94671199</v>
      </c>
      <c r="G20" s="119" t="s">
        <v>67</v>
      </c>
      <c r="H20" s="149">
        <f>F20+H19</f>
        <v>317808106.15234798</v>
      </c>
    </row>
    <row r="21" spans="1:9" x14ac:dyDescent="0.2">
      <c r="A21" s="142">
        <v>2027</v>
      </c>
      <c r="B21" s="143">
        <f t="shared" si="0"/>
        <v>139802346.347505</v>
      </c>
      <c r="C21" s="119" t="s">
        <v>68</v>
      </c>
      <c r="D21" s="144">
        <f t="shared" si="1"/>
        <v>922787764.66999996</v>
      </c>
      <c r="E21" s="145">
        <v>2027</v>
      </c>
      <c r="F21" s="148">
        <f t="shared" si="2"/>
        <v>162779761.68778798</v>
      </c>
      <c r="G21" s="119" t="s">
        <v>68</v>
      </c>
      <c r="H21" s="149">
        <f>F21+H20</f>
        <v>480587867.84013593</v>
      </c>
    </row>
    <row r="22" spans="1:9" x14ac:dyDescent="0.2">
      <c r="A22" s="142">
        <v>2028</v>
      </c>
      <c r="B22" s="143">
        <f t="shared" si="0"/>
        <v>0</v>
      </c>
      <c r="C22" s="119" t="s">
        <v>69</v>
      </c>
      <c r="D22" s="144"/>
      <c r="E22" s="145">
        <v>2028</v>
      </c>
      <c r="F22" s="148">
        <f t="shared" si="2"/>
        <v>165363567.428864</v>
      </c>
      <c r="G22" s="119" t="s">
        <v>69</v>
      </c>
      <c r="H22" s="149">
        <f>F22+H21</f>
        <v>645951435.26899993</v>
      </c>
    </row>
    <row r="23" spans="1:9" ht="13.5" thickBot="1" x14ac:dyDescent="0.25">
      <c r="A23" s="150">
        <v>2029</v>
      </c>
      <c r="B23" s="151">
        <f t="shared" si="0"/>
        <v>0</v>
      </c>
      <c r="C23" s="122" t="s">
        <v>70</v>
      </c>
      <c r="D23" s="152"/>
      <c r="E23" s="153">
        <v>2029</v>
      </c>
      <c r="F23" s="154">
        <f t="shared" si="2"/>
        <v>276836329.40099996</v>
      </c>
      <c r="G23" s="122" t="s">
        <v>70</v>
      </c>
      <c r="H23" s="155">
        <f>F23+H22</f>
        <v>922787764.66999984</v>
      </c>
    </row>
    <row r="25" spans="1:9" ht="13.5" thickBot="1" x14ac:dyDescent="0.25">
      <c r="A25" s="157" t="s">
        <v>74</v>
      </c>
      <c r="B25" s="158"/>
      <c r="C25" s="158"/>
      <c r="D25" s="158"/>
      <c r="E25" s="158"/>
      <c r="F25" s="158"/>
      <c r="G25" s="158"/>
      <c r="H25" s="158"/>
      <c r="I25" s="94">
        <v>98120965.480000004</v>
      </c>
    </row>
    <row r="26" spans="1:9" ht="60.75" thickBot="1" x14ac:dyDescent="0.25">
      <c r="A26" s="95" t="s">
        <v>57</v>
      </c>
      <c r="B26" s="96" t="s">
        <v>77</v>
      </c>
      <c r="C26" s="96" t="s">
        <v>59</v>
      </c>
      <c r="D26" s="96" t="s">
        <v>78</v>
      </c>
      <c r="E26" s="96" t="s">
        <v>57</v>
      </c>
      <c r="F26" s="96" t="s">
        <v>72</v>
      </c>
      <c r="G26" s="96" t="s">
        <v>59</v>
      </c>
      <c r="H26" s="96" t="s">
        <v>73</v>
      </c>
    </row>
    <row r="27" spans="1:9" x14ac:dyDescent="0.2">
      <c r="A27" s="137">
        <v>2021</v>
      </c>
      <c r="B27" s="138">
        <v>0</v>
      </c>
      <c r="C27" s="120">
        <v>2021</v>
      </c>
      <c r="D27" s="139">
        <f>B27</f>
        <v>0</v>
      </c>
      <c r="E27" s="140">
        <v>2021</v>
      </c>
      <c r="F27" s="138">
        <v>0</v>
      </c>
      <c r="G27" s="123">
        <v>2021</v>
      </c>
      <c r="H27" s="141">
        <v>0</v>
      </c>
    </row>
    <row r="28" spans="1:9" x14ac:dyDescent="0.2">
      <c r="A28" s="142">
        <v>2022</v>
      </c>
      <c r="B28" s="143">
        <f>B4*$I$25</f>
        <v>16759060.903984001</v>
      </c>
      <c r="C28" s="119" t="s">
        <v>63</v>
      </c>
      <c r="D28" s="144">
        <f>B28</f>
        <v>16759060.903984001</v>
      </c>
      <c r="E28" s="145">
        <v>2022</v>
      </c>
      <c r="F28" s="146">
        <v>0</v>
      </c>
      <c r="G28" s="119" t="s">
        <v>63</v>
      </c>
      <c r="H28" s="147">
        <v>0</v>
      </c>
    </row>
    <row r="29" spans="1:9" x14ac:dyDescent="0.2">
      <c r="A29" s="142">
        <v>2023</v>
      </c>
      <c r="B29" s="143">
        <f t="shared" ref="B29:B33" si="3">B5*$I$25</f>
        <v>17033799.607328001</v>
      </c>
      <c r="C29" s="119" t="s">
        <v>64</v>
      </c>
      <c r="D29" s="144">
        <f>D28+B29</f>
        <v>33792860.511312</v>
      </c>
      <c r="E29" s="145">
        <v>2023</v>
      </c>
      <c r="F29" s="146">
        <v>0</v>
      </c>
      <c r="G29" s="119" t="s">
        <v>64</v>
      </c>
      <c r="H29" s="147">
        <v>0</v>
      </c>
    </row>
    <row r="30" spans="1:9" x14ac:dyDescent="0.2">
      <c r="A30" s="142">
        <v>2024</v>
      </c>
      <c r="B30" s="143">
        <f t="shared" si="3"/>
        <v>17308538.310672</v>
      </c>
      <c r="C30" s="119" t="s">
        <v>65</v>
      </c>
      <c r="D30" s="144">
        <f t="shared" ref="D30:D33" si="4">D29+B30</f>
        <v>51101398.821984001</v>
      </c>
      <c r="E30" s="145">
        <v>2024</v>
      </c>
      <c r="F30" s="146">
        <v>0</v>
      </c>
      <c r="G30" s="119" t="s">
        <v>65</v>
      </c>
      <c r="H30" s="147">
        <v>0</v>
      </c>
    </row>
    <row r="31" spans="1:9" x14ac:dyDescent="0.2">
      <c r="A31" s="142">
        <v>2025</v>
      </c>
      <c r="B31" s="143">
        <f t="shared" si="3"/>
        <v>17583277.014016002</v>
      </c>
      <c r="C31" s="121" t="s">
        <v>66</v>
      </c>
      <c r="D31" s="144">
        <f t="shared" si="4"/>
        <v>68684675.835999995</v>
      </c>
      <c r="E31" s="145">
        <v>2025</v>
      </c>
      <c r="F31" s="148">
        <f>F7*$I$25</f>
        <v>16759060.903984001</v>
      </c>
      <c r="G31" s="121" t="s">
        <v>66</v>
      </c>
      <c r="H31" s="149">
        <f>F31</f>
        <v>16759060.903984001</v>
      </c>
    </row>
    <row r="32" spans="1:9" x14ac:dyDescent="0.2">
      <c r="A32" s="142">
        <v>2026</v>
      </c>
      <c r="B32" s="143">
        <f t="shared" si="3"/>
        <v>14570963.373779999</v>
      </c>
      <c r="C32" s="119" t="s">
        <v>67</v>
      </c>
      <c r="D32" s="144">
        <f t="shared" si="4"/>
        <v>83255639.209779993</v>
      </c>
      <c r="E32" s="145">
        <v>2026</v>
      </c>
      <c r="F32" s="148">
        <f t="shared" ref="F32:F35" si="5">F8*$I$25</f>
        <v>17033799.607328001</v>
      </c>
      <c r="G32" s="119" t="s">
        <v>67</v>
      </c>
      <c r="H32" s="149">
        <f>F32+H31</f>
        <v>33792860.511312</v>
      </c>
    </row>
    <row r="33" spans="1:9" x14ac:dyDescent="0.2">
      <c r="A33" s="142">
        <v>2027</v>
      </c>
      <c r="B33" s="143">
        <f t="shared" si="3"/>
        <v>14865326.27022</v>
      </c>
      <c r="C33" s="119" t="s">
        <v>68</v>
      </c>
      <c r="D33" s="144">
        <f t="shared" si="4"/>
        <v>98120965.479999989</v>
      </c>
      <c r="E33" s="145">
        <v>2027</v>
      </c>
      <c r="F33" s="148">
        <f t="shared" si="5"/>
        <v>17308538.310672</v>
      </c>
      <c r="G33" s="119" t="s">
        <v>68</v>
      </c>
      <c r="H33" s="149">
        <f>F33+H32</f>
        <v>51101398.821984001</v>
      </c>
    </row>
    <row r="34" spans="1:9" x14ac:dyDescent="0.2">
      <c r="A34" s="142">
        <v>2028</v>
      </c>
      <c r="B34" s="143">
        <f t="shared" ref="B34:B35" si="6">B22*$I$13</f>
        <v>0</v>
      </c>
      <c r="C34" s="119" t="s">
        <v>69</v>
      </c>
      <c r="D34" s="144"/>
      <c r="E34" s="145">
        <v>2028</v>
      </c>
      <c r="F34" s="148">
        <f t="shared" si="5"/>
        <v>17583277.014016002</v>
      </c>
      <c r="G34" s="119" t="s">
        <v>69</v>
      </c>
      <c r="H34" s="149">
        <f>F34+H33</f>
        <v>68684675.835999995</v>
      </c>
    </row>
    <row r="35" spans="1:9" ht="13.5" thickBot="1" x14ac:dyDescent="0.25">
      <c r="A35" s="150">
        <v>2029</v>
      </c>
      <c r="B35" s="151">
        <f t="shared" si="6"/>
        <v>0</v>
      </c>
      <c r="C35" s="122" t="s">
        <v>70</v>
      </c>
      <c r="D35" s="152"/>
      <c r="E35" s="153">
        <v>2029</v>
      </c>
      <c r="F35" s="154">
        <f t="shared" si="5"/>
        <v>29436289.644000001</v>
      </c>
      <c r="G35" s="122" t="s">
        <v>70</v>
      </c>
      <c r="H35" s="155">
        <f>F35+H34</f>
        <v>98120965.479999989</v>
      </c>
    </row>
    <row r="37" spans="1:9" ht="13.5" thickBot="1" x14ac:dyDescent="0.25">
      <c r="A37" s="157" t="s">
        <v>75</v>
      </c>
      <c r="B37" s="158"/>
      <c r="C37" s="158"/>
      <c r="D37" s="158"/>
      <c r="E37" s="158"/>
      <c r="F37" s="158"/>
      <c r="G37" s="158"/>
      <c r="H37" s="158"/>
      <c r="I37" s="94">
        <v>235079247.78999999</v>
      </c>
    </row>
    <row r="38" spans="1:9" ht="60.75" thickBot="1" x14ac:dyDescent="0.25">
      <c r="A38" s="95" t="s">
        <v>57</v>
      </c>
      <c r="B38" s="96" t="s">
        <v>77</v>
      </c>
      <c r="C38" s="96" t="s">
        <v>59</v>
      </c>
      <c r="D38" s="96" t="s">
        <v>78</v>
      </c>
      <c r="E38" s="96" t="s">
        <v>57</v>
      </c>
      <c r="F38" s="96" t="s">
        <v>72</v>
      </c>
      <c r="G38" s="96" t="s">
        <v>59</v>
      </c>
      <c r="H38" s="96" t="s">
        <v>73</v>
      </c>
    </row>
    <row r="39" spans="1:9" x14ac:dyDescent="0.2">
      <c r="A39" s="137">
        <v>2021</v>
      </c>
      <c r="B39" s="138">
        <v>0</v>
      </c>
      <c r="C39" s="120">
        <v>2021</v>
      </c>
      <c r="D39" s="139">
        <f>B39</f>
        <v>0</v>
      </c>
      <c r="E39" s="140">
        <v>2021</v>
      </c>
      <c r="F39" s="138">
        <v>0</v>
      </c>
      <c r="G39" s="123">
        <v>2021</v>
      </c>
      <c r="H39" s="141">
        <v>0</v>
      </c>
    </row>
    <row r="40" spans="1:9" x14ac:dyDescent="0.2">
      <c r="A40" s="142">
        <v>2022</v>
      </c>
      <c r="B40" s="143">
        <f>B4*$I$37</f>
        <v>40151535.522532001</v>
      </c>
      <c r="C40" s="119" t="s">
        <v>63</v>
      </c>
      <c r="D40" s="144">
        <f>B40</f>
        <v>40151535.522532001</v>
      </c>
      <c r="E40" s="145">
        <v>2022</v>
      </c>
      <c r="F40" s="146">
        <v>0</v>
      </c>
      <c r="G40" s="119" t="s">
        <v>63</v>
      </c>
      <c r="H40" s="147">
        <v>0</v>
      </c>
    </row>
    <row r="41" spans="1:9" x14ac:dyDescent="0.2">
      <c r="A41" s="142">
        <v>2023</v>
      </c>
      <c r="B41" s="143">
        <f t="shared" ref="B41:B45" si="7">B5*$I$37</f>
        <v>40809757.416344002</v>
      </c>
      <c r="C41" s="119" t="s">
        <v>64</v>
      </c>
      <c r="D41" s="144">
        <f>D40+B41</f>
        <v>80961292.938876003</v>
      </c>
      <c r="E41" s="145">
        <v>2023</v>
      </c>
      <c r="F41" s="146">
        <v>0</v>
      </c>
      <c r="G41" s="119" t="s">
        <v>64</v>
      </c>
      <c r="H41" s="147">
        <v>0</v>
      </c>
    </row>
    <row r="42" spans="1:9" x14ac:dyDescent="0.2">
      <c r="A42" s="142">
        <v>2024</v>
      </c>
      <c r="B42" s="143">
        <f t="shared" si="7"/>
        <v>41467979.310155995</v>
      </c>
      <c r="C42" s="119" t="s">
        <v>65</v>
      </c>
      <c r="D42" s="144">
        <f t="shared" ref="D42:D45" si="8">D41+B42</f>
        <v>122429272.24903199</v>
      </c>
      <c r="E42" s="145">
        <v>2024</v>
      </c>
      <c r="F42" s="146">
        <v>0</v>
      </c>
      <c r="G42" s="119" t="s">
        <v>65</v>
      </c>
      <c r="H42" s="147">
        <v>0</v>
      </c>
    </row>
    <row r="43" spans="1:9" x14ac:dyDescent="0.2">
      <c r="A43" s="142">
        <v>2025</v>
      </c>
      <c r="B43" s="143">
        <f t="shared" si="7"/>
        <v>42126201.203967996</v>
      </c>
      <c r="C43" s="121" t="s">
        <v>66</v>
      </c>
      <c r="D43" s="144">
        <f t="shared" si="8"/>
        <v>164555473.45299998</v>
      </c>
      <c r="E43" s="145">
        <v>2025</v>
      </c>
      <c r="F43" s="148">
        <f>F7*$I$37</f>
        <v>40151535.522532001</v>
      </c>
      <c r="G43" s="121" t="s">
        <v>66</v>
      </c>
      <c r="H43" s="149">
        <f>F43</f>
        <v>40151535.522532001</v>
      </c>
    </row>
    <row r="44" spans="1:9" x14ac:dyDescent="0.2">
      <c r="A44" s="142">
        <v>2026</v>
      </c>
      <c r="B44" s="143">
        <f t="shared" si="7"/>
        <v>34909268.296815</v>
      </c>
      <c r="C44" s="119" t="s">
        <v>67</v>
      </c>
      <c r="D44" s="144">
        <f t="shared" si="8"/>
        <v>199464741.74981499</v>
      </c>
      <c r="E44" s="145">
        <v>2026</v>
      </c>
      <c r="F44" s="148">
        <f t="shared" ref="F44:F47" si="9">F8*$I$37</f>
        <v>40809757.416344002</v>
      </c>
      <c r="G44" s="119" t="s">
        <v>67</v>
      </c>
      <c r="H44" s="149">
        <f>F44+H43</f>
        <v>80961292.938876003</v>
      </c>
    </row>
    <row r="45" spans="1:9" x14ac:dyDescent="0.2">
      <c r="A45" s="142">
        <v>2027</v>
      </c>
      <c r="B45" s="143">
        <f t="shared" si="7"/>
        <v>35614506.040184997</v>
      </c>
      <c r="C45" s="119" t="s">
        <v>68</v>
      </c>
      <c r="D45" s="144">
        <f t="shared" si="8"/>
        <v>235079247.78999999</v>
      </c>
      <c r="E45" s="145">
        <v>2027</v>
      </c>
      <c r="F45" s="148">
        <f t="shared" si="9"/>
        <v>41467979.310155995</v>
      </c>
      <c r="G45" s="119" t="s">
        <v>68</v>
      </c>
      <c r="H45" s="149">
        <f>F45+H44</f>
        <v>122429272.24903199</v>
      </c>
    </row>
    <row r="46" spans="1:9" x14ac:dyDescent="0.2">
      <c r="A46" s="142">
        <v>2028</v>
      </c>
      <c r="B46" s="143">
        <f t="shared" ref="B46:B47" si="10">B34*$I$13</f>
        <v>0</v>
      </c>
      <c r="C46" s="119" t="s">
        <v>69</v>
      </c>
      <c r="D46" s="144"/>
      <c r="E46" s="145">
        <v>2028</v>
      </c>
      <c r="F46" s="148">
        <f t="shared" si="9"/>
        <v>42126201.203967996</v>
      </c>
      <c r="G46" s="119" t="s">
        <v>69</v>
      </c>
      <c r="H46" s="149">
        <f>F46+H45</f>
        <v>164555473.45299998</v>
      </c>
    </row>
    <row r="47" spans="1:9" ht="13.5" thickBot="1" x14ac:dyDescent="0.25">
      <c r="A47" s="150">
        <v>2029</v>
      </c>
      <c r="B47" s="151">
        <f t="shared" si="10"/>
        <v>0</v>
      </c>
      <c r="C47" s="122" t="s">
        <v>70</v>
      </c>
      <c r="D47" s="152"/>
      <c r="E47" s="153">
        <v>2029</v>
      </c>
      <c r="F47" s="154">
        <f t="shared" si="9"/>
        <v>70523774.336999997</v>
      </c>
      <c r="G47" s="122" t="s">
        <v>70</v>
      </c>
      <c r="H47" s="155">
        <f>F47+H46</f>
        <v>235079247.78999996</v>
      </c>
    </row>
    <row r="49" spans="1:10" ht="13.5" thickBot="1" x14ac:dyDescent="0.25">
      <c r="A49" s="157" t="s">
        <v>76</v>
      </c>
      <c r="B49" s="158"/>
      <c r="C49" s="158"/>
      <c r="D49" s="158"/>
      <c r="E49" s="158"/>
      <c r="F49" s="158"/>
      <c r="G49" s="158"/>
      <c r="H49" s="158"/>
      <c r="I49" s="94">
        <v>374000000</v>
      </c>
    </row>
    <row r="50" spans="1:10" ht="60.75" thickBot="1" x14ac:dyDescent="0.25">
      <c r="A50" s="95" t="s">
        <v>57</v>
      </c>
      <c r="B50" s="96" t="s">
        <v>77</v>
      </c>
      <c r="C50" s="96" t="s">
        <v>59</v>
      </c>
      <c r="D50" s="96" t="s">
        <v>78</v>
      </c>
      <c r="E50" s="96" t="s">
        <v>57</v>
      </c>
      <c r="F50" s="96" t="s">
        <v>72</v>
      </c>
      <c r="G50" s="96" t="s">
        <v>59</v>
      </c>
      <c r="H50" s="96" t="s">
        <v>73</v>
      </c>
    </row>
    <row r="51" spans="1:10" x14ac:dyDescent="0.2">
      <c r="A51" s="137">
        <v>2021</v>
      </c>
      <c r="B51" s="138">
        <v>0</v>
      </c>
      <c r="C51" s="120">
        <v>2021</v>
      </c>
      <c r="D51" s="139">
        <f>B51</f>
        <v>0</v>
      </c>
      <c r="E51" s="140">
        <v>2021</v>
      </c>
      <c r="F51" s="138">
        <v>0</v>
      </c>
      <c r="G51" s="123">
        <v>2021</v>
      </c>
      <c r="H51" s="141">
        <v>0</v>
      </c>
    </row>
    <row r="52" spans="1:10" x14ac:dyDescent="0.2">
      <c r="A52" s="142">
        <v>2022</v>
      </c>
      <c r="B52" s="143">
        <f>B4*$I$49</f>
        <v>63879200</v>
      </c>
      <c r="C52" s="119" t="s">
        <v>63</v>
      </c>
      <c r="D52" s="144">
        <f>B52</f>
        <v>63879200</v>
      </c>
      <c r="E52" s="145">
        <v>2022</v>
      </c>
      <c r="F52" s="146">
        <v>0</v>
      </c>
      <c r="G52" s="119" t="s">
        <v>63</v>
      </c>
      <c r="H52" s="147">
        <v>0</v>
      </c>
    </row>
    <row r="53" spans="1:10" x14ac:dyDescent="0.2">
      <c r="A53" s="142">
        <v>2023</v>
      </c>
      <c r="B53" s="143">
        <f t="shared" ref="B53:B57" si="11">B5*$I$49</f>
        <v>64926400</v>
      </c>
      <c r="C53" s="119" t="s">
        <v>64</v>
      </c>
      <c r="D53" s="144">
        <f>D52+B53</f>
        <v>128805600</v>
      </c>
      <c r="E53" s="145">
        <v>2023</v>
      </c>
      <c r="F53" s="146">
        <v>0</v>
      </c>
      <c r="G53" s="119" t="s">
        <v>64</v>
      </c>
      <c r="H53" s="147">
        <v>0</v>
      </c>
    </row>
    <row r="54" spans="1:10" x14ac:dyDescent="0.2">
      <c r="A54" s="142">
        <v>2024</v>
      </c>
      <c r="B54" s="143">
        <f t="shared" si="11"/>
        <v>65973600</v>
      </c>
      <c r="C54" s="119" t="s">
        <v>65</v>
      </c>
      <c r="D54" s="144">
        <f t="shared" ref="D54:D57" si="12">D53+B54</f>
        <v>194779200</v>
      </c>
      <c r="E54" s="145">
        <v>2024</v>
      </c>
      <c r="F54" s="146">
        <v>0</v>
      </c>
      <c r="G54" s="119" t="s">
        <v>65</v>
      </c>
      <c r="H54" s="147">
        <v>0</v>
      </c>
    </row>
    <row r="55" spans="1:10" x14ac:dyDescent="0.2">
      <c r="A55" s="142">
        <v>2025</v>
      </c>
      <c r="B55" s="143">
        <f t="shared" si="11"/>
        <v>67020800</v>
      </c>
      <c r="C55" s="121" t="s">
        <v>66</v>
      </c>
      <c r="D55" s="144">
        <f t="shared" si="12"/>
        <v>261800000</v>
      </c>
      <c r="E55" s="145">
        <v>2025</v>
      </c>
      <c r="F55" s="148">
        <f>F7*$I$49</f>
        <v>63879200</v>
      </c>
      <c r="G55" s="121" t="s">
        <v>66</v>
      </c>
      <c r="H55" s="149">
        <f>F55</f>
        <v>63879200</v>
      </c>
    </row>
    <row r="56" spans="1:10" x14ac:dyDescent="0.2">
      <c r="A56" s="142">
        <v>2026</v>
      </c>
      <c r="B56" s="143">
        <f t="shared" si="11"/>
        <v>55539000</v>
      </c>
      <c r="C56" s="119" t="s">
        <v>67</v>
      </c>
      <c r="D56" s="144">
        <f t="shared" si="12"/>
        <v>317339000</v>
      </c>
      <c r="E56" s="145">
        <v>2026</v>
      </c>
      <c r="F56" s="148">
        <f t="shared" ref="F56:F59" si="13">F8*$I$49</f>
        <v>64926400</v>
      </c>
      <c r="G56" s="119" t="s">
        <v>67</v>
      </c>
      <c r="H56" s="149">
        <f>F56+H55</f>
        <v>128805600</v>
      </c>
    </row>
    <row r="57" spans="1:10" x14ac:dyDescent="0.2">
      <c r="A57" s="142">
        <v>2027</v>
      </c>
      <c r="B57" s="143">
        <f t="shared" si="11"/>
        <v>56661000</v>
      </c>
      <c r="C57" s="119" t="s">
        <v>68</v>
      </c>
      <c r="D57" s="144">
        <f t="shared" si="12"/>
        <v>374000000</v>
      </c>
      <c r="E57" s="145">
        <v>2027</v>
      </c>
      <c r="F57" s="148">
        <f t="shared" si="13"/>
        <v>65973600</v>
      </c>
      <c r="G57" s="119" t="s">
        <v>68</v>
      </c>
      <c r="H57" s="149">
        <f>F57+H56</f>
        <v>194779200</v>
      </c>
    </row>
    <row r="58" spans="1:10" x14ac:dyDescent="0.2">
      <c r="A58" s="142">
        <v>2028</v>
      </c>
      <c r="B58" s="143">
        <f t="shared" ref="B58:B59" si="14">B46*$I$13</f>
        <v>0</v>
      </c>
      <c r="C58" s="119" t="s">
        <v>69</v>
      </c>
      <c r="D58" s="144"/>
      <c r="E58" s="145">
        <v>2028</v>
      </c>
      <c r="F58" s="148">
        <f t="shared" si="13"/>
        <v>67020800</v>
      </c>
      <c r="G58" s="119" t="s">
        <v>69</v>
      </c>
      <c r="H58" s="149">
        <f>F58+H57</f>
        <v>261800000</v>
      </c>
    </row>
    <row r="59" spans="1:10" ht="13.5" thickBot="1" x14ac:dyDescent="0.25">
      <c r="A59" s="150">
        <v>2029</v>
      </c>
      <c r="B59" s="151">
        <f t="shared" si="14"/>
        <v>0</v>
      </c>
      <c r="C59" s="122" t="s">
        <v>70</v>
      </c>
      <c r="D59" s="152"/>
      <c r="E59" s="153">
        <v>2029</v>
      </c>
      <c r="F59" s="154">
        <f t="shared" si="13"/>
        <v>112200000</v>
      </c>
      <c r="G59" s="122" t="s">
        <v>70</v>
      </c>
      <c r="H59" s="155">
        <f>F59+H58</f>
        <v>374000000</v>
      </c>
    </row>
    <row r="60" spans="1:10" x14ac:dyDescent="0.2">
      <c r="I60" s="108">
        <f>SUM(I49)+I37+I25+I13</f>
        <v>1629987977.9400001</v>
      </c>
      <c r="J60" t="s">
        <v>79</v>
      </c>
    </row>
    <row r="62" spans="1:10" x14ac:dyDescent="0.2">
      <c r="I62" s="108"/>
    </row>
  </sheetData>
  <mergeCells count="5">
    <mergeCell ref="A13:H13"/>
    <mergeCell ref="A25:H25"/>
    <mergeCell ref="A37:H37"/>
    <mergeCell ref="A49:H49"/>
    <mergeCell ref="A1:H1"/>
  </mergeCells>
  <pageMargins left="0.7" right="0.7" top="0.78740157499999996" bottom="0.78740157499999996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D43" sqref="D43"/>
    </sheetView>
  </sheetViews>
  <sheetFormatPr defaultColWidth="9.140625" defaultRowHeight="15" x14ac:dyDescent="0.25"/>
  <cols>
    <col min="1" max="1" width="20.85546875" style="2" bestFit="1" customWidth="1"/>
    <col min="2" max="2" width="14.7109375" style="2" bestFit="1" customWidth="1"/>
    <col min="3" max="3" width="13.7109375" style="2" customWidth="1"/>
    <col min="4" max="4" width="17.5703125" style="2" bestFit="1" customWidth="1"/>
    <col min="5" max="5" width="16.28515625" style="2" bestFit="1" customWidth="1"/>
    <col min="6" max="7" width="9" style="2" customWidth="1"/>
    <col min="8" max="8" width="11.7109375" style="2" customWidth="1"/>
    <col min="9" max="9" width="17" style="2" customWidth="1"/>
    <col min="10" max="11" width="19" style="2" bestFit="1" customWidth="1"/>
    <col min="12" max="12" width="16.42578125" style="2" bestFit="1" customWidth="1"/>
    <col min="13" max="19" width="5.28515625" style="2" customWidth="1"/>
    <col min="20" max="20" width="6.85546875" style="2" bestFit="1" customWidth="1"/>
    <col min="21" max="21" width="6.5703125" style="2" bestFit="1" customWidth="1"/>
    <col min="22" max="22" width="14" style="2" bestFit="1" customWidth="1"/>
    <col min="23" max="23" width="7.28515625" style="2" bestFit="1" customWidth="1"/>
    <col min="24" max="24" width="7.5703125" style="2" bestFit="1" customWidth="1"/>
    <col min="25" max="25" width="12.85546875" style="2" bestFit="1" customWidth="1"/>
    <col min="26" max="26" width="14" style="2" bestFit="1" customWidth="1"/>
    <col min="27" max="27" width="12.7109375" style="2" bestFit="1" customWidth="1"/>
    <col min="28" max="28" width="6.85546875" style="2" bestFit="1" customWidth="1"/>
    <col min="29" max="29" width="20" style="2" customWidth="1"/>
    <col min="30" max="16384" width="9.140625" style="2"/>
  </cols>
  <sheetData>
    <row r="1" spans="1:12" ht="18.75" x14ac:dyDescent="0.3">
      <c r="A1" s="1" t="s">
        <v>0</v>
      </c>
    </row>
    <row r="2" spans="1:12" ht="18.75" x14ac:dyDescent="0.3">
      <c r="A2" s="1"/>
      <c r="B2" s="38" t="s">
        <v>1</v>
      </c>
      <c r="C2" s="38" t="s">
        <v>2</v>
      </c>
      <c r="D2" s="38"/>
      <c r="E2"/>
      <c r="F2"/>
    </row>
    <row r="3" spans="1:12" x14ac:dyDescent="0.25">
      <c r="A3" s="45" t="s">
        <v>3</v>
      </c>
      <c r="B3" s="46">
        <f>B29/24.5</f>
        <v>152960770</v>
      </c>
      <c r="C3" s="37">
        <f>B3/70*85</f>
        <v>185738077.85714287</v>
      </c>
      <c r="D3" s="71" t="s">
        <v>4</v>
      </c>
      <c r="E3" s="47"/>
      <c r="F3" s="167" t="s">
        <v>5</v>
      </c>
      <c r="G3" s="167"/>
      <c r="H3" s="167"/>
    </row>
    <row r="4" spans="1:12" x14ac:dyDescent="0.25">
      <c r="A4" s="45" t="s">
        <v>6</v>
      </c>
      <c r="B4" s="46">
        <v>262006158</v>
      </c>
      <c r="C4" s="46">
        <f>B4</f>
        <v>262006158</v>
      </c>
      <c r="D4" s="58"/>
      <c r="F4" s="167"/>
      <c r="G4" s="167"/>
      <c r="H4" s="167"/>
    </row>
    <row r="5" spans="1:12" x14ac:dyDescent="0.25">
      <c r="B5" s="78">
        <f>SUM(B3:B4)</f>
        <v>414966928</v>
      </c>
    </row>
    <row r="6" spans="1:12" ht="30.75" customHeight="1" x14ac:dyDescent="0.25">
      <c r="A6" s="160"/>
      <c r="B6" s="162" t="s">
        <v>7</v>
      </c>
      <c r="C6" s="162"/>
      <c r="D6" s="163"/>
      <c r="E6" s="163"/>
      <c r="F6" s="162"/>
      <c r="G6" s="162"/>
      <c r="H6" s="164" t="s">
        <v>8</v>
      </c>
      <c r="I6" s="166" t="s">
        <v>9</v>
      </c>
    </row>
    <row r="7" spans="1:12" ht="30" x14ac:dyDescent="0.25">
      <c r="A7" s="161"/>
      <c r="B7" s="79" t="s">
        <v>10</v>
      </c>
      <c r="C7" s="7" t="s">
        <v>11</v>
      </c>
      <c r="D7" s="36" t="s">
        <v>1</v>
      </c>
      <c r="E7" s="36" t="s">
        <v>2</v>
      </c>
      <c r="F7" s="6" t="s">
        <v>12</v>
      </c>
      <c r="G7" s="79" t="s">
        <v>13</v>
      </c>
      <c r="H7" s="165"/>
      <c r="I7" s="166"/>
    </row>
    <row r="8" spans="1:12" x14ac:dyDescent="0.25">
      <c r="A8" s="8" t="s">
        <v>14</v>
      </c>
      <c r="B8" s="48">
        <v>1204.395</v>
      </c>
      <c r="C8" s="49">
        <v>9.9678179831140632</v>
      </c>
      <c r="D8" s="69">
        <f>C8/SUM($C$8:$C$12)*$B$3</f>
        <v>26592316.50405759</v>
      </c>
      <c r="E8" s="69">
        <f>C8/SUM($C$8:$C$12)*$C$3</f>
        <v>32290670.04064136</v>
      </c>
      <c r="F8" s="50">
        <f>E8/SUM($C$3:$C$4)*100</f>
        <v>7.211856112189909</v>
      </c>
      <c r="G8" s="51">
        <f>F8-C8</f>
        <v>-2.7559618709241542</v>
      </c>
      <c r="H8" s="52">
        <v>782.64</v>
      </c>
      <c r="I8" s="51">
        <f>E8/H8</f>
        <v>41258.650261475726</v>
      </c>
      <c r="K8" s="72"/>
      <c r="L8" s="72"/>
    </row>
    <row r="9" spans="1:12" x14ac:dyDescent="0.25">
      <c r="A9" s="8" t="s">
        <v>15</v>
      </c>
      <c r="B9" s="48">
        <v>1056.07</v>
      </c>
      <c r="C9" s="49">
        <v>8.740250115142679</v>
      </c>
      <c r="D9" s="69">
        <f t="shared" ref="D9:D12" si="0">C9/SUM($C$8:$C$12)*$B$3</f>
        <v>23317389.80188401</v>
      </c>
      <c r="E9" s="69">
        <f t="shared" ref="E9:E12" si="1">C9/SUM($C$8:$C$12)*$C$3</f>
        <v>28313973.330859154</v>
      </c>
      <c r="F9" s="50">
        <f t="shared" ref="F9:F20" si="2">E9/SUM($C$3:$C$4)*100</f>
        <v>6.3236935427334009</v>
      </c>
      <c r="G9" s="51">
        <f t="shared" ref="G9:G20" si="3">F9-C9</f>
        <v>-2.4165565724092781</v>
      </c>
      <c r="H9" s="52">
        <v>644.64</v>
      </c>
      <c r="I9" s="51">
        <f>E9/H9</f>
        <v>43922.14775822033</v>
      </c>
      <c r="K9" s="72"/>
      <c r="L9" s="72"/>
    </row>
    <row r="10" spans="1:12" x14ac:dyDescent="0.25">
      <c r="A10" s="8" t="s">
        <v>16</v>
      </c>
      <c r="B10" s="48">
        <v>1183.96</v>
      </c>
      <c r="C10" s="49">
        <v>9.7986937668187988</v>
      </c>
      <c r="D10" s="69">
        <f t="shared" si="0"/>
        <v>26141124.006778531</v>
      </c>
      <c r="E10" s="69">
        <f t="shared" si="1"/>
        <v>31742793.436802503</v>
      </c>
      <c r="F10" s="50">
        <f t="shared" si="2"/>
        <v>7.0894923696863286</v>
      </c>
      <c r="G10" s="51">
        <f t="shared" si="3"/>
        <v>-2.7092013971324702</v>
      </c>
      <c r="H10" s="52">
        <v>741.88</v>
      </c>
      <c r="I10" s="51">
        <f t="shared" ref="I10:I20" si="4">E10/H10</f>
        <v>42786.964787839679</v>
      </c>
      <c r="K10" s="72"/>
      <c r="L10" s="72"/>
    </row>
    <row r="11" spans="1:12" x14ac:dyDescent="0.25">
      <c r="A11" s="8" t="s">
        <v>17</v>
      </c>
      <c r="B11" s="48">
        <v>1196.145</v>
      </c>
      <c r="C11" s="49">
        <v>9.8995393051382408</v>
      </c>
      <c r="D11" s="69">
        <f t="shared" si="0"/>
        <v>26410161.470901132</v>
      </c>
      <c r="E11" s="69">
        <f t="shared" si="1"/>
        <v>32069481.78609423</v>
      </c>
      <c r="F11" s="50">
        <f t="shared" si="2"/>
        <v>7.1624555310470388</v>
      </c>
      <c r="G11" s="51">
        <f t="shared" si="3"/>
        <v>-2.737083774091202</v>
      </c>
      <c r="H11" s="52">
        <v>896.87</v>
      </c>
      <c r="I11" s="51">
        <f t="shared" si="4"/>
        <v>35757.112832511099</v>
      </c>
      <c r="K11" s="72"/>
      <c r="L11" s="72"/>
    </row>
    <row r="12" spans="1:12" x14ac:dyDescent="0.25">
      <c r="A12" s="8" t="s">
        <v>18</v>
      </c>
      <c r="B12" s="48">
        <v>2287.19</v>
      </c>
      <c r="C12" s="49">
        <v>18.929249633881454</v>
      </c>
      <c r="D12" s="69">
        <f t="shared" si="0"/>
        <v>50499778.216378741</v>
      </c>
      <c r="E12" s="69">
        <f t="shared" si="1"/>
        <v>61321159.262745619</v>
      </c>
      <c r="F12" s="50">
        <f t="shared" si="2"/>
        <v>13.695577598080064</v>
      </c>
      <c r="G12" s="51">
        <f t="shared" si="3"/>
        <v>-5.2336720358013906</v>
      </c>
      <c r="H12" s="52">
        <v>2187</v>
      </c>
      <c r="I12" s="51">
        <f t="shared" si="4"/>
        <v>28038.938848992053</v>
      </c>
      <c r="K12" s="72"/>
      <c r="L12" s="72"/>
    </row>
    <row r="13" spans="1:12" x14ac:dyDescent="0.25">
      <c r="A13" s="9" t="s">
        <v>19</v>
      </c>
      <c r="B13" s="53">
        <v>403.6</v>
      </c>
      <c r="C13" s="54">
        <v>3.3402756886111584</v>
      </c>
      <c r="D13" s="70">
        <f>C13/SUM($C$13:$C$20)*$B$4</f>
        <v>20512928.593434624</v>
      </c>
      <c r="E13" s="70">
        <f>C13/SUM($C$13:$C$20)*$C$4</f>
        <v>20512928.593434624</v>
      </c>
      <c r="F13" s="55">
        <f t="shared" si="2"/>
        <v>4.5813942315003855</v>
      </c>
      <c r="G13" s="56">
        <f t="shared" si="3"/>
        <v>1.2411185428892271</v>
      </c>
      <c r="H13" s="57">
        <v>331.55</v>
      </c>
      <c r="I13" s="56">
        <f t="shared" si="4"/>
        <v>61869.789152268509</v>
      </c>
      <c r="K13" s="72"/>
      <c r="L13" s="72"/>
    </row>
    <row r="14" spans="1:12" x14ac:dyDescent="0.25">
      <c r="A14" s="9" t="s">
        <v>20</v>
      </c>
      <c r="B14" s="53">
        <v>813.82500000000005</v>
      </c>
      <c r="C14" s="54">
        <v>6.7353812246877505</v>
      </c>
      <c r="D14" s="70">
        <f t="shared" ref="D14:D20" si="5">C14/SUM($C$13:$C$20)*$B$4</f>
        <v>41362572.132190116</v>
      </c>
      <c r="E14" s="70">
        <f t="shared" ref="E14:E20" si="6">C14/SUM($C$13:$C$20)*$C$4</f>
        <v>41362572.132190116</v>
      </c>
      <c r="F14" s="55">
        <f t="shared" si="2"/>
        <v>9.2379909822864246</v>
      </c>
      <c r="G14" s="56">
        <f t="shared" si="3"/>
        <v>2.5026097575986741</v>
      </c>
      <c r="H14" s="57">
        <v>731.42</v>
      </c>
      <c r="I14" s="56">
        <f t="shared" si="4"/>
        <v>56551.054294646194</v>
      </c>
      <c r="K14" s="72"/>
      <c r="L14" s="72"/>
    </row>
    <row r="15" spans="1:12" x14ac:dyDescent="0.25">
      <c r="A15" s="9" t="s">
        <v>21</v>
      </c>
      <c r="B15" s="53">
        <v>465.59000000000003</v>
      </c>
      <c r="C15" s="54">
        <v>3.8533175368197945</v>
      </c>
      <c r="D15" s="70">
        <f t="shared" si="5"/>
        <v>23663563.983689856</v>
      </c>
      <c r="E15" s="70">
        <f t="shared" si="6"/>
        <v>23663563.983689856</v>
      </c>
      <c r="F15" s="55">
        <f t="shared" si="2"/>
        <v>5.2850627855407932</v>
      </c>
      <c r="G15" s="56">
        <f t="shared" si="3"/>
        <v>1.4317452487209987</v>
      </c>
      <c r="H15" s="57">
        <v>448.26</v>
      </c>
      <c r="I15" s="56">
        <f t="shared" si="4"/>
        <v>52789.818372573631</v>
      </c>
      <c r="K15" s="72"/>
      <c r="L15" s="72"/>
    </row>
    <row r="16" spans="1:12" x14ac:dyDescent="0.25">
      <c r="A16" s="9" t="s">
        <v>22</v>
      </c>
      <c r="B16" s="53">
        <v>792.05</v>
      </c>
      <c r="C16" s="54">
        <v>6.555166895848533</v>
      </c>
      <c r="D16" s="70">
        <f t="shared" si="5"/>
        <v>40255859.991154343</v>
      </c>
      <c r="E16" s="70">
        <f t="shared" si="6"/>
        <v>40255859.991154343</v>
      </c>
      <c r="F16" s="55">
        <f t="shared" si="2"/>
        <v>8.9908159094645193</v>
      </c>
      <c r="G16" s="56">
        <f t="shared" si="3"/>
        <v>2.4356490136159863</v>
      </c>
      <c r="H16" s="57">
        <v>737.42</v>
      </c>
      <c r="I16" s="56">
        <f t="shared" si="4"/>
        <v>54590.138579309409</v>
      </c>
      <c r="K16" s="72"/>
      <c r="L16" s="72"/>
    </row>
    <row r="17" spans="1:12" x14ac:dyDescent="0.25">
      <c r="A17" s="9" t="s">
        <v>23</v>
      </c>
      <c r="B17" s="53">
        <v>741.07</v>
      </c>
      <c r="C17" s="54">
        <v>6.1332460469749037</v>
      </c>
      <c r="D17" s="70">
        <f t="shared" si="5"/>
        <v>37664806.721349351</v>
      </c>
      <c r="E17" s="70">
        <f t="shared" si="6"/>
        <v>37664806.721349351</v>
      </c>
      <c r="F17" s="55">
        <f t="shared" si="2"/>
        <v>8.4121254289841207</v>
      </c>
      <c r="G17" s="56">
        <f t="shared" si="3"/>
        <v>2.278879382009217</v>
      </c>
      <c r="H17" s="57">
        <v>545.69000000000005</v>
      </c>
      <c r="I17" s="56">
        <f t="shared" si="4"/>
        <v>69022.351007622186</v>
      </c>
      <c r="K17" s="72"/>
      <c r="L17" s="72"/>
    </row>
    <row r="18" spans="1:12" x14ac:dyDescent="0.25">
      <c r="A18" s="9" t="s">
        <v>24</v>
      </c>
      <c r="B18" s="53">
        <v>724.96</v>
      </c>
      <c r="C18" s="54">
        <v>5.999916410345751</v>
      </c>
      <c r="D18" s="70">
        <f t="shared" si="5"/>
        <v>36846017.624123797</v>
      </c>
      <c r="E18" s="70">
        <f t="shared" si="6"/>
        <v>36846017.624123797</v>
      </c>
      <c r="F18" s="55">
        <f t="shared" si="2"/>
        <v>8.2292556047287402</v>
      </c>
      <c r="G18" s="56">
        <f t="shared" si="3"/>
        <v>2.2293391943829892</v>
      </c>
      <c r="H18" s="57">
        <v>537.41999999999996</v>
      </c>
      <c r="I18" s="56">
        <f t="shared" si="4"/>
        <v>68560.93488170109</v>
      </c>
      <c r="K18" s="72"/>
      <c r="L18" s="72"/>
    </row>
    <row r="19" spans="1:12" x14ac:dyDescent="0.25">
      <c r="A19" s="9" t="s">
        <v>25</v>
      </c>
      <c r="B19" s="53">
        <v>717.68499999999995</v>
      </c>
      <c r="C19" s="54">
        <v>5.9397070306761623</v>
      </c>
      <c r="D19" s="70">
        <f t="shared" si="5"/>
        <v>36476266.49548842</v>
      </c>
      <c r="E19" s="70">
        <f t="shared" si="6"/>
        <v>36476266.49548842</v>
      </c>
      <c r="F19" s="55">
        <f t="shared" si="2"/>
        <v>8.1466747250603415</v>
      </c>
      <c r="G19" s="56">
        <f t="shared" si="3"/>
        <v>2.2069676943841792</v>
      </c>
      <c r="H19" s="57">
        <v>535.25</v>
      </c>
      <c r="I19" s="56">
        <f t="shared" si="4"/>
        <v>68148.092471720549</v>
      </c>
      <c r="K19" s="72"/>
      <c r="L19" s="72"/>
    </row>
    <row r="20" spans="1:12" x14ac:dyDescent="0.25">
      <c r="A20" s="9" t="s">
        <v>26</v>
      </c>
      <c r="B20" s="53">
        <v>496.29499999999996</v>
      </c>
      <c r="C20" s="54">
        <v>4.1074383619407202</v>
      </c>
      <c r="D20" s="70">
        <f t="shared" si="5"/>
        <v>25224142.458569463</v>
      </c>
      <c r="E20" s="70">
        <f t="shared" si="6"/>
        <v>25224142.458569463</v>
      </c>
      <c r="F20" s="55">
        <f t="shared" si="2"/>
        <v>5.6336051786979278</v>
      </c>
      <c r="G20" s="56">
        <f t="shared" si="3"/>
        <v>1.5261668167572076</v>
      </c>
      <c r="H20" s="57">
        <v>479.34</v>
      </c>
      <c r="I20" s="56">
        <f t="shared" si="4"/>
        <v>52622.652936474035</v>
      </c>
      <c r="K20" s="72"/>
      <c r="L20" s="72"/>
    </row>
    <row r="21" spans="1:12" x14ac:dyDescent="0.25">
      <c r="A21" s="10" t="s">
        <v>27</v>
      </c>
      <c r="B21" s="11">
        <v>12082.834999999999</v>
      </c>
      <c r="C21" s="12">
        <v>100</v>
      </c>
      <c r="D21" s="13"/>
      <c r="E21" s="13"/>
      <c r="F21" s="12"/>
      <c r="G21" s="12"/>
      <c r="H21" s="12"/>
      <c r="I21" s="12"/>
      <c r="J21" s="72"/>
      <c r="K21" s="72"/>
      <c r="L21" s="72"/>
    </row>
    <row r="28" spans="1:12" ht="18.75" x14ac:dyDescent="0.3">
      <c r="A28" s="1"/>
      <c r="B28" s="38" t="s">
        <v>1</v>
      </c>
      <c r="C28" s="38" t="s">
        <v>2</v>
      </c>
      <c r="D28" s="38"/>
      <c r="E28"/>
      <c r="F28"/>
    </row>
    <row r="29" spans="1:12" x14ac:dyDescent="0.25">
      <c r="A29" s="45" t="s">
        <v>3</v>
      </c>
      <c r="B29" s="46">
        <v>3747538865</v>
      </c>
      <c r="C29" s="37">
        <f>B29/70*85</f>
        <v>4550582907.5</v>
      </c>
      <c r="D29" s="71" t="s">
        <v>4</v>
      </c>
      <c r="E29" s="47"/>
      <c r="F29" s="167" t="s">
        <v>28</v>
      </c>
      <c r="G29" s="167"/>
      <c r="H29" s="167"/>
    </row>
    <row r="30" spans="1:12" x14ac:dyDescent="0.25">
      <c r="A30" s="45" t="s">
        <v>6</v>
      </c>
      <c r="B30" s="46">
        <f>B4*24.5</f>
        <v>6419150871</v>
      </c>
      <c r="C30" s="46">
        <f>B30</f>
        <v>6419150871</v>
      </c>
      <c r="D30" s="58"/>
      <c r="F30" s="167"/>
      <c r="G30" s="167"/>
      <c r="H30" s="167"/>
    </row>
    <row r="31" spans="1:12" x14ac:dyDescent="0.25">
      <c r="B31" s="78">
        <f>SUM(B29:B30)</f>
        <v>10166689736</v>
      </c>
    </row>
    <row r="32" spans="1:12" x14ac:dyDescent="0.25">
      <c r="A32" s="160"/>
      <c r="B32" s="162" t="s">
        <v>7</v>
      </c>
      <c r="C32" s="162"/>
      <c r="D32" s="163"/>
      <c r="E32" s="163"/>
      <c r="F32" s="162"/>
      <c r="G32" s="162"/>
      <c r="H32" s="164" t="s">
        <v>8</v>
      </c>
      <c r="I32" s="166" t="s">
        <v>9</v>
      </c>
    </row>
    <row r="33" spans="1:9" ht="30" x14ac:dyDescent="0.25">
      <c r="A33" s="161"/>
      <c r="B33" s="79" t="s">
        <v>10</v>
      </c>
      <c r="C33" s="7" t="s">
        <v>11</v>
      </c>
      <c r="D33" s="36" t="s">
        <v>1</v>
      </c>
      <c r="E33" s="36" t="s">
        <v>2</v>
      </c>
      <c r="F33" s="6" t="s">
        <v>12</v>
      </c>
      <c r="G33" s="79" t="s">
        <v>13</v>
      </c>
      <c r="H33" s="165"/>
      <c r="I33" s="166"/>
    </row>
    <row r="34" spans="1:9" x14ac:dyDescent="0.25">
      <c r="A34" s="8" t="s">
        <v>14</v>
      </c>
      <c r="B34" s="48">
        <v>1204.395</v>
      </c>
      <c r="C34" s="49">
        <v>9.9678179831140632</v>
      </c>
      <c r="D34" s="69">
        <f>C34/SUM($C$8:$C$12)*$B$29</f>
        <v>651511754.34941101</v>
      </c>
      <c r="E34" s="69">
        <f>C34/SUM($C$8:$C$12)*$C$29</f>
        <v>791121415.99571335</v>
      </c>
      <c r="F34" s="50">
        <f>E34/SUM($C$29:$C$30)*100</f>
        <v>7.2118561121899099</v>
      </c>
      <c r="G34" s="51">
        <f>F34-C34</f>
        <v>-2.7559618709241533</v>
      </c>
      <c r="H34" s="52">
        <v>782.64</v>
      </c>
      <c r="I34" s="19">
        <f>E34/H34</f>
        <v>1010836.9314061552</v>
      </c>
    </row>
    <row r="35" spans="1:9" x14ac:dyDescent="0.25">
      <c r="A35" s="8" t="s">
        <v>15</v>
      </c>
      <c r="B35" s="48">
        <v>1056.07</v>
      </c>
      <c r="C35" s="49">
        <v>8.740250115142679</v>
      </c>
      <c r="D35" s="69">
        <f t="shared" ref="D35:D38" si="7">C35/SUM($C$8:$C$12)*$B$29</f>
        <v>571276050.14615822</v>
      </c>
      <c r="E35" s="69">
        <f t="shared" ref="E35:E38" si="8">C35/SUM($C$8:$C$12)*$C$29</f>
        <v>693692346.6060493</v>
      </c>
      <c r="F35" s="50">
        <f t="shared" ref="F35:F46" si="9">E35/SUM($C$29:$C$30)*100</f>
        <v>6.3236935427334027</v>
      </c>
      <c r="G35" s="51">
        <f t="shared" ref="G35:G46" si="10">F35-C35</f>
        <v>-2.4165565724092763</v>
      </c>
      <c r="H35" s="52">
        <v>644.64</v>
      </c>
      <c r="I35" s="19">
        <f>E35/H35</f>
        <v>1076092.6200763981</v>
      </c>
    </row>
    <row r="36" spans="1:9" x14ac:dyDescent="0.25">
      <c r="A36" s="8" t="s">
        <v>16</v>
      </c>
      <c r="B36" s="48">
        <v>1183.96</v>
      </c>
      <c r="C36" s="49">
        <v>9.7986937668187988</v>
      </c>
      <c r="D36" s="69">
        <f t="shared" si="7"/>
        <v>640457538.16607404</v>
      </c>
      <c r="E36" s="69">
        <f t="shared" si="8"/>
        <v>777698439.20166123</v>
      </c>
      <c r="F36" s="50">
        <f t="shared" si="9"/>
        <v>7.0894923696863286</v>
      </c>
      <c r="G36" s="51">
        <f t="shared" si="10"/>
        <v>-2.7092013971324702</v>
      </c>
      <c r="H36" s="52">
        <v>741.88</v>
      </c>
      <c r="I36" s="19">
        <f t="shared" ref="I36:I46" si="11">E36/H36</f>
        <v>1048280.6373020721</v>
      </c>
    </row>
    <row r="37" spans="1:9" x14ac:dyDescent="0.25">
      <c r="A37" s="8" t="s">
        <v>17</v>
      </c>
      <c r="B37" s="48">
        <v>1196.145</v>
      </c>
      <c r="C37" s="49">
        <v>9.8995393051382408</v>
      </c>
      <c r="D37" s="69">
        <f t="shared" si="7"/>
        <v>647048956.03707767</v>
      </c>
      <c r="E37" s="69">
        <f t="shared" si="8"/>
        <v>785702303.75930858</v>
      </c>
      <c r="F37" s="50">
        <f t="shared" si="9"/>
        <v>7.1624555310470388</v>
      </c>
      <c r="G37" s="51">
        <f t="shared" si="10"/>
        <v>-2.737083774091202</v>
      </c>
      <c r="H37" s="52">
        <v>896.87</v>
      </c>
      <c r="I37" s="19">
        <f t="shared" si="11"/>
        <v>876049.26439652184</v>
      </c>
    </row>
    <row r="38" spans="1:9" x14ac:dyDescent="0.25">
      <c r="A38" s="8" t="s">
        <v>18</v>
      </c>
      <c r="B38" s="48">
        <v>2287.19</v>
      </c>
      <c r="C38" s="49">
        <v>18.929249633881454</v>
      </c>
      <c r="D38" s="69">
        <f t="shared" si="7"/>
        <v>1237244566.3012793</v>
      </c>
      <c r="E38" s="69">
        <f t="shared" si="8"/>
        <v>1502368401.9372675</v>
      </c>
      <c r="F38" s="50">
        <f t="shared" si="9"/>
        <v>13.69557759808006</v>
      </c>
      <c r="G38" s="51">
        <f t="shared" si="10"/>
        <v>-5.2336720358013942</v>
      </c>
      <c r="H38" s="52">
        <v>2187</v>
      </c>
      <c r="I38" s="19">
        <f t="shared" si="11"/>
        <v>686954.00180030521</v>
      </c>
    </row>
    <row r="39" spans="1:9" x14ac:dyDescent="0.25">
      <c r="A39" s="9" t="s">
        <v>19</v>
      </c>
      <c r="B39" s="53">
        <v>403.6</v>
      </c>
      <c r="C39" s="54">
        <v>3.3402756886111584</v>
      </c>
      <c r="D39" s="70">
        <f>C39/SUM($C$13:$C$20)*$B$30</f>
        <v>502566750.53914827</v>
      </c>
      <c r="E39" s="70">
        <f>C39/SUM($C$13:$C$20)*$C$30</f>
        <v>502566750.53914827</v>
      </c>
      <c r="F39" s="55">
        <f t="shared" si="9"/>
        <v>4.5813942315003855</v>
      </c>
      <c r="G39" s="56">
        <f t="shared" si="10"/>
        <v>1.2411185428892271</v>
      </c>
      <c r="H39" s="57">
        <v>331.55</v>
      </c>
      <c r="I39" s="21">
        <f t="shared" si="11"/>
        <v>1515809.8342305783</v>
      </c>
    </row>
    <row r="40" spans="1:9" x14ac:dyDescent="0.25">
      <c r="A40" s="9" t="s">
        <v>20</v>
      </c>
      <c r="B40" s="53">
        <v>813.82500000000005</v>
      </c>
      <c r="C40" s="54">
        <v>6.7353812246877505</v>
      </c>
      <c r="D40" s="70">
        <f t="shared" ref="D40:D46" si="12">C40/SUM($C$13:$C$20)*$B$30</f>
        <v>1013383017.238658</v>
      </c>
      <c r="E40" s="70">
        <f t="shared" ref="E40:E46" si="13">C40/SUM($C$13:$C$20)*$C$30</f>
        <v>1013383017.238658</v>
      </c>
      <c r="F40" s="55">
        <f t="shared" si="9"/>
        <v>9.2379909822864263</v>
      </c>
      <c r="G40" s="56">
        <f t="shared" si="10"/>
        <v>2.5026097575986759</v>
      </c>
      <c r="H40" s="57">
        <v>731.42</v>
      </c>
      <c r="I40" s="21">
        <f t="shared" si="11"/>
        <v>1385500.8302188318</v>
      </c>
    </row>
    <row r="41" spans="1:9" x14ac:dyDescent="0.25">
      <c r="A41" s="9" t="s">
        <v>21</v>
      </c>
      <c r="B41" s="53">
        <v>465.59000000000003</v>
      </c>
      <c r="C41" s="54">
        <v>3.8533175368197945</v>
      </c>
      <c r="D41" s="70">
        <f t="shared" si="12"/>
        <v>579757317.6004014</v>
      </c>
      <c r="E41" s="70">
        <f t="shared" si="13"/>
        <v>579757317.6004014</v>
      </c>
      <c r="F41" s="55">
        <f t="shared" si="9"/>
        <v>5.2850627855407932</v>
      </c>
      <c r="G41" s="56">
        <f t="shared" si="10"/>
        <v>1.4317452487209987</v>
      </c>
      <c r="H41" s="57">
        <v>448.26</v>
      </c>
      <c r="I41" s="21">
        <f t="shared" si="11"/>
        <v>1293350.5501280539</v>
      </c>
    </row>
    <row r="42" spans="1:9" x14ac:dyDescent="0.25">
      <c r="A42" s="9" t="s">
        <v>22</v>
      </c>
      <c r="B42" s="53">
        <v>792.05</v>
      </c>
      <c r="C42" s="54">
        <v>6.555166895848533</v>
      </c>
      <c r="D42" s="70">
        <f t="shared" si="12"/>
        <v>986268569.78328145</v>
      </c>
      <c r="E42" s="70">
        <f t="shared" si="13"/>
        <v>986268569.78328145</v>
      </c>
      <c r="F42" s="55">
        <f t="shared" si="9"/>
        <v>8.9908159094645193</v>
      </c>
      <c r="G42" s="56">
        <f t="shared" si="10"/>
        <v>2.4356490136159863</v>
      </c>
      <c r="H42" s="57">
        <v>737.42</v>
      </c>
      <c r="I42" s="21">
        <f t="shared" si="11"/>
        <v>1337458.3951930807</v>
      </c>
    </row>
    <row r="43" spans="1:9" x14ac:dyDescent="0.25">
      <c r="A43" s="9" t="s">
        <v>23</v>
      </c>
      <c r="B43" s="53">
        <v>741.07</v>
      </c>
      <c r="C43" s="54">
        <v>6.1332460469749037</v>
      </c>
      <c r="D43" s="70">
        <f t="shared" si="12"/>
        <v>922787764.67305899</v>
      </c>
      <c r="E43" s="70">
        <f t="shared" si="13"/>
        <v>922787764.67305899</v>
      </c>
      <c r="F43" s="55">
        <f t="shared" si="9"/>
        <v>8.4121254289841207</v>
      </c>
      <c r="G43" s="56">
        <f t="shared" si="10"/>
        <v>2.278879382009217</v>
      </c>
      <c r="H43" s="57">
        <v>545.69000000000005</v>
      </c>
      <c r="I43" s="21">
        <f t="shared" si="11"/>
        <v>1691047.5996867432</v>
      </c>
    </row>
    <row r="44" spans="1:9" x14ac:dyDescent="0.25">
      <c r="A44" s="9" t="s">
        <v>24</v>
      </c>
      <c r="B44" s="53">
        <v>724.96</v>
      </c>
      <c r="C44" s="54">
        <v>5.999916410345751</v>
      </c>
      <c r="D44" s="70">
        <f t="shared" si="12"/>
        <v>902727431.79103303</v>
      </c>
      <c r="E44" s="70">
        <f t="shared" si="13"/>
        <v>902727431.79103303</v>
      </c>
      <c r="F44" s="55">
        <f t="shared" si="9"/>
        <v>8.2292556047287402</v>
      </c>
      <c r="G44" s="56">
        <f t="shared" si="10"/>
        <v>2.2293391943829892</v>
      </c>
      <c r="H44" s="57">
        <v>537.41999999999996</v>
      </c>
      <c r="I44" s="21">
        <f t="shared" si="11"/>
        <v>1679742.9046016766</v>
      </c>
    </row>
    <row r="45" spans="1:9" x14ac:dyDescent="0.25">
      <c r="A45" s="9" t="s">
        <v>25</v>
      </c>
      <c r="B45" s="53">
        <v>717.68499999999995</v>
      </c>
      <c r="C45" s="54">
        <v>5.9397070306761623</v>
      </c>
      <c r="D45" s="70">
        <f t="shared" si="12"/>
        <v>893668529.1394664</v>
      </c>
      <c r="E45" s="70">
        <f t="shared" si="13"/>
        <v>893668529.1394664</v>
      </c>
      <c r="F45" s="55">
        <f t="shared" si="9"/>
        <v>8.1466747250603415</v>
      </c>
      <c r="G45" s="56">
        <f t="shared" si="10"/>
        <v>2.2069676943841792</v>
      </c>
      <c r="H45" s="57">
        <v>535.25</v>
      </c>
      <c r="I45" s="21">
        <f t="shared" si="11"/>
        <v>1669628.2655571534</v>
      </c>
    </row>
    <row r="46" spans="1:9" x14ac:dyDescent="0.25">
      <c r="A46" s="9" t="s">
        <v>26</v>
      </c>
      <c r="B46" s="53">
        <v>496.29499999999996</v>
      </c>
      <c r="C46" s="54">
        <v>4.1074383619407202</v>
      </c>
      <c r="D46" s="70">
        <f t="shared" si="12"/>
        <v>617991490.23495185</v>
      </c>
      <c r="E46" s="70">
        <f t="shared" si="13"/>
        <v>617991490.23495185</v>
      </c>
      <c r="F46" s="55">
        <f t="shared" si="9"/>
        <v>5.6336051786979278</v>
      </c>
      <c r="G46" s="56">
        <f t="shared" si="10"/>
        <v>1.5261668167572076</v>
      </c>
      <c r="H46" s="57">
        <v>479.34</v>
      </c>
      <c r="I46" s="21">
        <f t="shared" si="11"/>
        <v>1289254.996943614</v>
      </c>
    </row>
    <row r="47" spans="1:9" x14ac:dyDescent="0.25">
      <c r="A47" s="10" t="s">
        <v>27</v>
      </c>
      <c r="B47" s="11">
        <v>12082.834999999999</v>
      </c>
      <c r="C47" s="12">
        <v>100</v>
      </c>
      <c r="D47" s="13"/>
      <c r="E47" s="13"/>
      <c r="F47" s="12"/>
      <c r="G47" s="12"/>
      <c r="H47" s="12"/>
      <c r="I47" s="12"/>
    </row>
    <row r="48" spans="1:9" x14ac:dyDescent="0.25">
      <c r="D48" s="109"/>
    </row>
  </sheetData>
  <mergeCells count="10">
    <mergeCell ref="A32:A33"/>
    <mergeCell ref="B32:G32"/>
    <mergeCell ref="H32:H33"/>
    <mergeCell ref="I32:I33"/>
    <mergeCell ref="F3:H4"/>
    <mergeCell ref="F29:H30"/>
    <mergeCell ref="A6:A7"/>
    <mergeCell ref="B6:G6"/>
    <mergeCell ref="I6:I7"/>
    <mergeCell ref="H6:H7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8" workbookViewId="0">
      <selection activeCell="B3" sqref="B3"/>
    </sheetView>
  </sheetViews>
  <sheetFormatPr defaultColWidth="9.140625" defaultRowHeight="15" x14ac:dyDescent="0.25"/>
  <cols>
    <col min="1" max="1" width="19.85546875" style="2" customWidth="1"/>
    <col min="2" max="2" width="15.140625" style="2" customWidth="1"/>
    <col min="3" max="3" width="14.85546875" style="2" customWidth="1"/>
    <col min="4" max="4" width="16.42578125" style="2" bestFit="1" customWidth="1"/>
    <col min="5" max="5" width="14.7109375" style="2" bestFit="1" customWidth="1"/>
    <col min="6" max="6" width="12.7109375" style="2" bestFit="1" customWidth="1"/>
    <col min="7" max="7" width="6.85546875" style="2" customWidth="1"/>
    <col min="8" max="8" width="16.42578125" style="2" bestFit="1" customWidth="1"/>
    <col min="9" max="16384" width="9.140625" style="2"/>
  </cols>
  <sheetData>
    <row r="1" spans="1:7" ht="18.75" x14ac:dyDescent="0.3">
      <c r="A1" s="1" t="s">
        <v>29</v>
      </c>
    </row>
    <row r="2" spans="1:7" ht="18.75" x14ac:dyDescent="0.3">
      <c r="A2" s="1"/>
      <c r="B2" s="66" t="s">
        <v>1</v>
      </c>
      <c r="C2" s="66" t="s">
        <v>2</v>
      </c>
      <c r="D2" s="78"/>
    </row>
    <row r="3" spans="1:7" x14ac:dyDescent="0.25">
      <c r="A3" s="67" t="s">
        <v>3</v>
      </c>
      <c r="B3" s="68">
        <f>B29/24.5</f>
        <v>38069329.600000001</v>
      </c>
      <c r="C3" s="68">
        <f>B3/70*85</f>
        <v>46227043.085714288</v>
      </c>
      <c r="D3" s="71" t="s">
        <v>4</v>
      </c>
      <c r="E3" s="171" t="s">
        <v>5</v>
      </c>
      <c r="F3" s="171"/>
    </row>
    <row r="4" spans="1:7" x14ac:dyDescent="0.25">
      <c r="A4" s="67" t="s">
        <v>6</v>
      </c>
      <c r="B4" s="68">
        <v>38120918.384615384</v>
      </c>
      <c r="C4" s="68">
        <f>B4</f>
        <v>38120918.384615384</v>
      </c>
      <c r="D4" s="59"/>
      <c r="E4" s="171"/>
      <c r="F4" s="171"/>
    </row>
    <row r="5" spans="1:7" x14ac:dyDescent="0.25">
      <c r="A5" s="3"/>
      <c r="B5" s="14"/>
      <c r="C5" s="15"/>
      <c r="D5" s="60"/>
    </row>
    <row r="6" spans="1:7" ht="60.75" customHeight="1" x14ac:dyDescent="0.25">
      <c r="A6" s="16"/>
      <c r="B6" s="168" t="s">
        <v>30</v>
      </c>
      <c r="C6" s="169"/>
      <c r="D6" s="169"/>
      <c r="E6" s="169"/>
      <c r="F6" s="169"/>
      <c r="G6" s="170"/>
    </row>
    <row r="7" spans="1:7" ht="19.5" customHeight="1" x14ac:dyDescent="0.25">
      <c r="A7" s="16"/>
      <c r="B7" s="79" t="s">
        <v>31</v>
      </c>
      <c r="C7" s="79" t="s">
        <v>11</v>
      </c>
      <c r="D7" s="79" t="s">
        <v>1</v>
      </c>
      <c r="E7" s="79" t="s">
        <v>2</v>
      </c>
      <c r="F7" s="79" t="s">
        <v>12</v>
      </c>
      <c r="G7" s="79" t="s">
        <v>13</v>
      </c>
    </row>
    <row r="8" spans="1:7" x14ac:dyDescent="0.25">
      <c r="A8" s="8" t="s">
        <v>14</v>
      </c>
      <c r="B8" s="17" t="s">
        <v>32</v>
      </c>
      <c r="C8" s="18">
        <v>10.465238219210573</v>
      </c>
      <c r="D8" s="19">
        <f>C8/SUM(C$8:C$12)*$B$3</f>
        <v>8214654.5569315869</v>
      </c>
      <c r="E8" s="19">
        <f>C8/SUM(C$8:C$12)*$C$3</f>
        <v>9974937.6762740705</v>
      </c>
      <c r="F8" s="18">
        <f>E8/SUM(E$8:E$20)*100</f>
        <v>11.825938057534282</v>
      </c>
      <c r="G8" s="18">
        <f t="shared" ref="G8:G20" si="0">F8-C8</f>
        <v>1.3606998383237094</v>
      </c>
    </row>
    <row r="9" spans="1:7" x14ac:dyDescent="0.25">
      <c r="A9" s="8" t="s">
        <v>15</v>
      </c>
      <c r="B9" s="17" t="s">
        <v>33</v>
      </c>
      <c r="C9" s="18">
        <v>7.9956760026070803</v>
      </c>
      <c r="D9" s="19">
        <f t="shared" ref="D9:D12" si="1">C9/SUM(C$8:C$12)*$B$3</f>
        <v>6276179.761488447</v>
      </c>
      <c r="E9" s="19">
        <f t="shared" ref="E9:E12" si="2">C9/SUM(C$8:C$12)*$C$3</f>
        <v>7621075.424664543</v>
      </c>
      <c r="F9" s="18">
        <f t="shared" ref="F9:F20" si="3">E9/SUM(E$8:E$20)*100</f>
        <v>9.0352811043872592</v>
      </c>
      <c r="G9" s="18">
        <f t="shared" si="0"/>
        <v>1.0396051017801788</v>
      </c>
    </row>
    <row r="10" spans="1:7" x14ac:dyDescent="0.25">
      <c r="A10" s="8" t="s">
        <v>16</v>
      </c>
      <c r="B10" s="17" t="s">
        <v>34</v>
      </c>
      <c r="C10" s="18">
        <v>6.4072837284905217</v>
      </c>
      <c r="D10" s="19">
        <f t="shared" si="1"/>
        <v>5029376.4341819836</v>
      </c>
      <c r="E10" s="19">
        <f t="shared" si="2"/>
        <v>6107099.9557924084</v>
      </c>
      <c r="F10" s="18">
        <f t="shared" si="3"/>
        <v>7.2403646150246903</v>
      </c>
      <c r="G10" s="18">
        <f t="shared" si="0"/>
        <v>0.83308088653416856</v>
      </c>
    </row>
    <row r="11" spans="1:7" x14ac:dyDescent="0.25">
      <c r="A11" s="8" t="s">
        <v>17</v>
      </c>
      <c r="B11" s="17" t="s">
        <v>35</v>
      </c>
      <c r="C11" s="18">
        <v>8.7060078078272163</v>
      </c>
      <c r="D11" s="19">
        <f t="shared" si="1"/>
        <v>6833752.3917964455</v>
      </c>
      <c r="E11" s="19">
        <f t="shared" si="2"/>
        <v>8298127.904324255</v>
      </c>
      <c r="F11" s="18">
        <f t="shared" si="3"/>
        <v>9.8379709001541347</v>
      </c>
      <c r="G11" s="18">
        <f t="shared" si="0"/>
        <v>1.1319630923269184</v>
      </c>
    </row>
    <row r="12" spans="1:7" x14ac:dyDescent="0.25">
      <c r="A12" s="8" t="s">
        <v>18</v>
      </c>
      <c r="B12" s="17" t="s">
        <v>36</v>
      </c>
      <c r="C12" s="18">
        <v>14.92504644395113</v>
      </c>
      <c r="D12" s="19">
        <f t="shared" si="1"/>
        <v>11715366.455601539</v>
      </c>
      <c r="E12" s="19">
        <f t="shared" si="2"/>
        <v>14225802.124659013</v>
      </c>
      <c r="F12" s="18">
        <f t="shared" si="3"/>
        <v>16.86561462384968</v>
      </c>
      <c r="G12" s="18">
        <f t="shared" si="0"/>
        <v>1.9405681798985501</v>
      </c>
    </row>
    <row r="13" spans="1:7" x14ac:dyDescent="0.25">
      <c r="A13" s="9" t="s">
        <v>19</v>
      </c>
      <c r="B13" s="5" t="s">
        <v>37</v>
      </c>
      <c r="C13" s="20">
        <v>4.2240674475306816</v>
      </c>
      <c r="D13" s="21">
        <f>C13/SUM(C$13:C$20)*$B$4</f>
        <v>3126660.0448266026</v>
      </c>
      <c r="E13" s="21">
        <f>C13/SUM(C$13:C$20)*$C$4</f>
        <v>3126660.0448266026</v>
      </c>
      <c r="F13" s="20">
        <f t="shared" si="3"/>
        <v>3.7068590518651003</v>
      </c>
      <c r="G13" s="20">
        <f t="shared" si="0"/>
        <v>-0.5172083956655813</v>
      </c>
    </row>
    <row r="14" spans="1:7" x14ac:dyDescent="0.25">
      <c r="A14" s="9" t="s">
        <v>20</v>
      </c>
      <c r="B14" s="5" t="s">
        <v>38</v>
      </c>
      <c r="C14" s="20">
        <v>5.4564859656043447</v>
      </c>
      <c r="D14" s="21">
        <f t="shared" ref="D14:D20" si="4">C14/SUM(C$13:C$20)*$B$4</f>
        <v>4038897.7841216838</v>
      </c>
      <c r="E14" s="21">
        <f t="shared" ref="E14:E20" si="5">C14/SUM(C$13:C$20)*$C$4</f>
        <v>4038897.7841216838</v>
      </c>
      <c r="F14" s="20">
        <f t="shared" si="3"/>
        <v>4.7883762852317542</v>
      </c>
      <c r="G14" s="20">
        <f t="shared" si="0"/>
        <v>-0.66810968037259055</v>
      </c>
    </row>
    <row r="15" spans="1:7" x14ac:dyDescent="0.25">
      <c r="A15" s="9" t="s">
        <v>21</v>
      </c>
      <c r="B15" s="5" t="s">
        <v>39</v>
      </c>
      <c r="C15" s="20">
        <v>5.3362529867713242</v>
      </c>
      <c r="D15" s="21">
        <f t="shared" si="4"/>
        <v>3949901.1817574273</v>
      </c>
      <c r="E15" s="21">
        <f t="shared" si="5"/>
        <v>3949901.1817574273</v>
      </c>
      <c r="F15" s="20">
        <f t="shared" si="3"/>
        <v>4.6828650187910572</v>
      </c>
      <c r="G15" s="20">
        <f t="shared" si="0"/>
        <v>-0.65338796798026699</v>
      </c>
    </row>
    <row r="16" spans="1:7" x14ac:dyDescent="0.25">
      <c r="A16" s="9" t="s">
        <v>22</v>
      </c>
      <c r="B16" s="5" t="s">
        <v>40</v>
      </c>
      <c r="C16" s="20">
        <v>11.723294651888335</v>
      </c>
      <c r="D16" s="21">
        <f t="shared" si="4"/>
        <v>8677597.4666825924</v>
      </c>
      <c r="E16" s="21">
        <f t="shared" si="5"/>
        <v>8677597.4666825924</v>
      </c>
      <c r="F16" s="20">
        <f t="shared" si="3"/>
        <v>10.287856772608587</v>
      </c>
      <c r="G16" s="20">
        <f t="shared" si="0"/>
        <v>-1.435437879279748</v>
      </c>
    </row>
    <row r="17" spans="1:7" x14ac:dyDescent="0.25">
      <c r="A17" s="9" t="s">
        <v>23</v>
      </c>
      <c r="B17" s="5" t="s">
        <v>41</v>
      </c>
      <c r="C17" s="20">
        <v>5.4106059876267345</v>
      </c>
      <c r="D17" s="21">
        <f t="shared" si="4"/>
        <v>4004937.3666373524</v>
      </c>
      <c r="E17" s="21">
        <f t="shared" si="5"/>
        <v>4004937.3666373524</v>
      </c>
      <c r="F17" s="20">
        <f t="shared" si="3"/>
        <v>4.7481139992294104</v>
      </c>
      <c r="G17" s="20">
        <f t="shared" si="0"/>
        <v>-0.66249198839732415</v>
      </c>
    </row>
    <row r="18" spans="1:7" x14ac:dyDescent="0.25">
      <c r="A18" s="9" t="s">
        <v>24</v>
      </c>
      <c r="B18" s="5" t="s">
        <v>42</v>
      </c>
      <c r="C18" s="20">
        <v>5.8345918572032183</v>
      </c>
      <c r="D18" s="21">
        <f t="shared" si="4"/>
        <v>4318772.2413031934</v>
      </c>
      <c r="E18" s="21">
        <f t="shared" si="5"/>
        <v>4318772.2413031934</v>
      </c>
      <c r="F18" s="20">
        <f t="shared" si="3"/>
        <v>5.1201856761201858</v>
      </c>
      <c r="G18" s="20">
        <f t="shared" si="0"/>
        <v>-0.71440618108303244</v>
      </c>
    </row>
    <row r="19" spans="1:7" x14ac:dyDescent="0.25">
      <c r="A19" s="9" t="s">
        <v>25</v>
      </c>
      <c r="B19" s="5" t="s">
        <v>43</v>
      </c>
      <c r="C19" s="20">
        <v>7.7378030898412282</v>
      </c>
      <c r="D19" s="21">
        <f t="shared" si="4"/>
        <v>5727531.5927745178</v>
      </c>
      <c r="E19" s="21">
        <f t="shared" si="5"/>
        <v>5727531.5927745178</v>
      </c>
      <c r="F19" s="20">
        <f t="shared" si="3"/>
        <v>6.790361607955683</v>
      </c>
      <c r="G19" s="20">
        <f t="shared" si="0"/>
        <v>-0.94744148188554522</v>
      </c>
    </row>
    <row r="20" spans="1:7" x14ac:dyDescent="0.25">
      <c r="A20" s="9" t="s">
        <v>26</v>
      </c>
      <c r="B20" s="5" t="s">
        <v>44</v>
      </c>
      <c r="C20" s="20">
        <v>5.777645811447619</v>
      </c>
      <c r="D20" s="21">
        <f t="shared" si="4"/>
        <v>4276620.7065120097</v>
      </c>
      <c r="E20" s="21">
        <f t="shared" si="5"/>
        <v>4276620.7065120097</v>
      </c>
      <c r="F20" s="20">
        <f t="shared" si="3"/>
        <v>5.0702122872481725</v>
      </c>
      <c r="G20" s="20">
        <f t="shared" si="0"/>
        <v>-0.7074335241994465</v>
      </c>
    </row>
    <row r="21" spans="1:7" x14ac:dyDescent="0.25">
      <c r="A21" s="22" t="s">
        <v>27</v>
      </c>
      <c r="B21" s="23"/>
      <c r="C21" s="23">
        <f>SUM(C8:C20)</f>
        <v>100</v>
      </c>
      <c r="D21" s="23"/>
      <c r="E21" s="23"/>
      <c r="F21" s="34"/>
      <c r="G21" s="23"/>
    </row>
    <row r="26" spans="1:7" x14ac:dyDescent="0.25">
      <c r="E26" s="78"/>
    </row>
    <row r="28" spans="1:7" ht="18.75" x14ac:dyDescent="0.3">
      <c r="A28" s="1"/>
      <c r="B28" s="66" t="s">
        <v>1</v>
      </c>
      <c r="C28" s="66" t="s">
        <v>2</v>
      </c>
    </row>
    <row r="29" spans="1:7" x14ac:dyDescent="0.25">
      <c r="A29" s="67" t="s">
        <v>3</v>
      </c>
      <c r="B29" s="68">
        <v>932698575.20000005</v>
      </c>
      <c r="C29" s="68">
        <f>B29/70*85</f>
        <v>1132562555.6000001</v>
      </c>
      <c r="D29" s="71" t="s">
        <v>4</v>
      </c>
      <c r="E29" s="171" t="s">
        <v>28</v>
      </c>
      <c r="F29" s="171"/>
    </row>
    <row r="30" spans="1:7" x14ac:dyDescent="0.25">
      <c r="A30" s="67" t="s">
        <v>6</v>
      </c>
      <c r="B30" s="68">
        <f>B4*24.5</f>
        <v>933962500.42307687</v>
      </c>
      <c r="C30" s="68">
        <f>B30</f>
        <v>933962500.42307687</v>
      </c>
      <c r="D30" s="59"/>
      <c r="E30" s="171"/>
      <c r="F30" s="171"/>
    </row>
    <row r="31" spans="1:7" x14ac:dyDescent="0.25">
      <c r="A31" s="3"/>
      <c r="B31" s="14">
        <f>SUM(B29:B30)</f>
        <v>1866661075.6230769</v>
      </c>
      <c r="C31" s="15"/>
      <c r="D31" s="60"/>
    </row>
    <row r="32" spans="1:7" x14ac:dyDescent="0.25">
      <c r="A32" s="16"/>
      <c r="B32" s="168" t="s">
        <v>30</v>
      </c>
      <c r="C32" s="169"/>
      <c r="D32" s="169"/>
      <c r="E32" s="169"/>
      <c r="F32" s="169"/>
      <c r="G32" s="170"/>
    </row>
    <row r="33" spans="1:7" x14ac:dyDescent="0.25">
      <c r="A33" s="16"/>
      <c r="B33" s="79" t="s">
        <v>31</v>
      </c>
      <c r="C33" s="79" t="s">
        <v>11</v>
      </c>
      <c r="D33" s="79" t="s">
        <v>1</v>
      </c>
      <c r="E33" s="79" t="s">
        <v>2</v>
      </c>
      <c r="F33" s="79" t="s">
        <v>12</v>
      </c>
      <c r="G33" s="79" t="s">
        <v>13</v>
      </c>
    </row>
    <row r="34" spans="1:7" x14ac:dyDescent="0.25">
      <c r="A34" s="8" t="s">
        <v>14</v>
      </c>
      <c r="B34" s="17" t="s">
        <v>32</v>
      </c>
      <c r="C34" s="18">
        <v>10.465238219210573</v>
      </c>
      <c r="D34" s="69">
        <f>C34/SUM($C$8:$C$12)*$B$29</f>
        <v>201259036.64482388</v>
      </c>
      <c r="E34" s="69">
        <f>C34/SUM($C$8:$C$12)*$C$29</f>
        <v>244385973.06871474</v>
      </c>
      <c r="F34" s="18">
        <f>E34/SUM(E$34:E$46)*100</f>
        <v>11.825938057534284</v>
      </c>
      <c r="G34" s="18">
        <f t="shared" ref="G34:G46" si="6">F34-C34</f>
        <v>1.3606998383237112</v>
      </c>
    </row>
    <row r="35" spans="1:7" x14ac:dyDescent="0.25">
      <c r="A35" s="8" t="s">
        <v>15</v>
      </c>
      <c r="B35" s="17" t="s">
        <v>33</v>
      </c>
      <c r="C35" s="18">
        <v>7.9956760026070803</v>
      </c>
      <c r="D35" s="69">
        <f t="shared" ref="D35:D38" si="7">C35/SUM($C$8:$C$12)*$B$29</f>
        <v>153766404.15646696</v>
      </c>
      <c r="E35" s="69">
        <f t="shared" ref="E35:E38" si="8">C35/SUM($C$8:$C$12)*$C$29</f>
        <v>186716347.90428132</v>
      </c>
      <c r="F35" s="18">
        <f t="shared" ref="F35:F46" si="9">E35/SUM(E$34:E$46)*100</f>
        <v>9.035281104387261</v>
      </c>
      <c r="G35" s="18">
        <f t="shared" si="6"/>
        <v>1.0396051017801806</v>
      </c>
    </row>
    <row r="36" spans="1:7" x14ac:dyDescent="0.25">
      <c r="A36" s="8" t="s">
        <v>16</v>
      </c>
      <c r="B36" s="17" t="s">
        <v>34</v>
      </c>
      <c r="C36" s="18">
        <v>6.4072837284905217</v>
      </c>
      <c r="D36" s="69">
        <f t="shared" si="7"/>
        <v>123219722.63745859</v>
      </c>
      <c r="E36" s="69">
        <f t="shared" si="8"/>
        <v>149623948.91691402</v>
      </c>
      <c r="F36" s="18">
        <f t="shared" si="9"/>
        <v>7.2403646150246903</v>
      </c>
      <c r="G36" s="18">
        <f t="shared" si="6"/>
        <v>0.83308088653416856</v>
      </c>
    </row>
    <row r="37" spans="1:7" x14ac:dyDescent="0.25">
      <c r="A37" s="8" t="s">
        <v>17</v>
      </c>
      <c r="B37" s="17" t="s">
        <v>35</v>
      </c>
      <c r="C37" s="18">
        <v>8.7060078078272163</v>
      </c>
      <c r="D37" s="69">
        <f t="shared" si="7"/>
        <v>167426933.59901291</v>
      </c>
      <c r="E37" s="69">
        <f t="shared" si="8"/>
        <v>203304133.65594426</v>
      </c>
      <c r="F37" s="18">
        <f t="shared" si="9"/>
        <v>9.8379709001541347</v>
      </c>
      <c r="G37" s="18">
        <f t="shared" si="6"/>
        <v>1.1319630923269184</v>
      </c>
    </row>
    <row r="38" spans="1:7" x14ac:dyDescent="0.25">
      <c r="A38" s="8" t="s">
        <v>18</v>
      </c>
      <c r="B38" s="17" t="s">
        <v>36</v>
      </c>
      <c r="C38" s="18">
        <v>14.92504644395113</v>
      </c>
      <c r="D38" s="69">
        <f t="shared" si="7"/>
        <v>287026478.1622377</v>
      </c>
      <c r="E38" s="69">
        <f t="shared" si="8"/>
        <v>348532152.05414581</v>
      </c>
      <c r="F38" s="18">
        <f t="shared" si="9"/>
        <v>16.86561462384968</v>
      </c>
      <c r="G38" s="18">
        <f t="shared" si="6"/>
        <v>1.9405681798985501</v>
      </c>
    </row>
    <row r="39" spans="1:7" x14ac:dyDescent="0.25">
      <c r="A39" s="9" t="s">
        <v>19</v>
      </c>
      <c r="B39" s="5" t="s">
        <v>37</v>
      </c>
      <c r="C39" s="20">
        <v>4.2240674475306816</v>
      </c>
      <c r="D39" s="21">
        <f>C39/SUM(C$13:C$20)*$B$30</f>
        <v>76603171.09825176</v>
      </c>
      <c r="E39" s="21">
        <f>C39/SUM(C$13:C$20)*$C$30</f>
        <v>76603171.09825176</v>
      </c>
      <c r="F39" s="20">
        <f t="shared" si="9"/>
        <v>3.7068590518651003</v>
      </c>
      <c r="G39" s="20">
        <f t="shared" si="6"/>
        <v>-0.5172083956655813</v>
      </c>
    </row>
    <row r="40" spans="1:7" x14ac:dyDescent="0.25">
      <c r="A40" s="9" t="s">
        <v>20</v>
      </c>
      <c r="B40" s="5" t="s">
        <v>38</v>
      </c>
      <c r="C40" s="20">
        <v>5.4564859656043447</v>
      </c>
      <c r="D40" s="21">
        <f t="shared" ref="D40:D46" si="10">C40/SUM(C$13:C$20)*$B$30</f>
        <v>98952995.71098125</v>
      </c>
      <c r="E40" s="21">
        <f t="shared" ref="E40:E46" si="11">C40/SUM(C$13:C$20)*$C$30</f>
        <v>98952995.71098125</v>
      </c>
      <c r="F40" s="20">
        <f t="shared" si="9"/>
        <v>4.7883762852317542</v>
      </c>
      <c r="G40" s="20">
        <f t="shared" si="6"/>
        <v>-0.66810968037259055</v>
      </c>
    </row>
    <row r="41" spans="1:7" x14ac:dyDescent="0.25">
      <c r="A41" s="9" t="s">
        <v>21</v>
      </c>
      <c r="B41" s="5" t="s">
        <v>39</v>
      </c>
      <c r="C41" s="20">
        <v>5.3362529867713242</v>
      </c>
      <c r="D41" s="21">
        <f t="shared" si="10"/>
        <v>96772578.953056961</v>
      </c>
      <c r="E41" s="21">
        <f t="shared" si="11"/>
        <v>96772578.953056961</v>
      </c>
      <c r="F41" s="20">
        <f t="shared" si="9"/>
        <v>4.6828650187910572</v>
      </c>
      <c r="G41" s="20">
        <f t="shared" si="6"/>
        <v>-0.65338796798026699</v>
      </c>
    </row>
    <row r="42" spans="1:7" x14ac:dyDescent="0.25">
      <c r="A42" s="9" t="s">
        <v>22</v>
      </c>
      <c r="B42" s="5" t="s">
        <v>40</v>
      </c>
      <c r="C42" s="20">
        <v>11.723294651888335</v>
      </c>
      <c r="D42" s="21">
        <f t="shared" si="10"/>
        <v>212601137.93372351</v>
      </c>
      <c r="E42" s="21">
        <f t="shared" si="11"/>
        <v>212601137.93372351</v>
      </c>
      <c r="F42" s="20">
        <f t="shared" si="9"/>
        <v>10.287856772608587</v>
      </c>
      <c r="G42" s="20">
        <f t="shared" si="6"/>
        <v>-1.435437879279748</v>
      </c>
    </row>
    <row r="43" spans="1:7" x14ac:dyDescent="0.25">
      <c r="A43" s="9" t="s">
        <v>23</v>
      </c>
      <c r="B43" s="5" t="s">
        <v>41</v>
      </c>
      <c r="C43" s="20">
        <v>5.4106059876267345</v>
      </c>
      <c r="D43" s="21">
        <f t="shared" si="10"/>
        <v>98120965.482615128</v>
      </c>
      <c r="E43" s="21">
        <f t="shared" si="11"/>
        <v>98120965.482615128</v>
      </c>
      <c r="F43" s="20">
        <f t="shared" si="9"/>
        <v>4.7481139992294104</v>
      </c>
      <c r="G43" s="20">
        <f t="shared" si="6"/>
        <v>-0.66249198839732415</v>
      </c>
    </row>
    <row r="44" spans="1:7" x14ac:dyDescent="0.25">
      <c r="A44" s="9" t="s">
        <v>24</v>
      </c>
      <c r="B44" s="5" t="s">
        <v>42</v>
      </c>
      <c r="C44" s="20">
        <v>5.8345918572032183</v>
      </c>
      <c r="D44" s="21">
        <f t="shared" si="10"/>
        <v>105809919.91192824</v>
      </c>
      <c r="E44" s="21">
        <f t="shared" si="11"/>
        <v>105809919.91192824</v>
      </c>
      <c r="F44" s="20">
        <f t="shared" si="9"/>
        <v>5.1201856761201858</v>
      </c>
      <c r="G44" s="20">
        <f t="shared" si="6"/>
        <v>-0.71440618108303244</v>
      </c>
    </row>
    <row r="45" spans="1:7" x14ac:dyDescent="0.25">
      <c r="A45" s="9" t="s">
        <v>25</v>
      </c>
      <c r="B45" s="5" t="s">
        <v>43</v>
      </c>
      <c r="C45" s="20">
        <v>7.7378030898412282</v>
      </c>
      <c r="D45" s="21">
        <f t="shared" si="10"/>
        <v>140324524.02297568</v>
      </c>
      <c r="E45" s="21">
        <f t="shared" si="11"/>
        <v>140324524.02297568</v>
      </c>
      <c r="F45" s="20">
        <f t="shared" si="9"/>
        <v>6.7903616079556821</v>
      </c>
      <c r="G45" s="20">
        <f t="shared" si="6"/>
        <v>-0.94744148188554611</v>
      </c>
    </row>
    <row r="46" spans="1:7" x14ac:dyDescent="0.25">
      <c r="A46" s="9" t="s">
        <v>26</v>
      </c>
      <c r="B46" s="5" t="s">
        <v>44</v>
      </c>
      <c r="C46" s="20">
        <v>5.777645811447619</v>
      </c>
      <c r="D46" s="21">
        <f t="shared" si="10"/>
        <v>104777207.30954424</v>
      </c>
      <c r="E46" s="21">
        <f t="shared" si="11"/>
        <v>104777207.30954424</v>
      </c>
      <c r="F46" s="20">
        <f t="shared" si="9"/>
        <v>5.0702122872481725</v>
      </c>
      <c r="G46" s="20">
        <f t="shared" si="6"/>
        <v>-0.7074335241994465</v>
      </c>
    </row>
    <row r="47" spans="1:7" x14ac:dyDescent="0.25">
      <c r="A47" s="22" t="s">
        <v>27</v>
      </c>
      <c r="B47" s="23"/>
      <c r="C47" s="23">
        <f>SUM(C34:C46)</f>
        <v>100</v>
      </c>
      <c r="D47" s="23"/>
      <c r="E47" s="23"/>
      <c r="F47" s="34"/>
      <c r="G47" s="23"/>
    </row>
    <row r="48" spans="1:7" x14ac:dyDescent="0.25">
      <c r="D48" s="109"/>
    </row>
  </sheetData>
  <mergeCells count="4">
    <mergeCell ref="B6:G6"/>
    <mergeCell ref="E3:F4"/>
    <mergeCell ref="E29:F30"/>
    <mergeCell ref="B32:G32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Normal="100" workbookViewId="0">
      <selection activeCell="E18" sqref="E18"/>
    </sheetView>
  </sheetViews>
  <sheetFormatPr defaultColWidth="9.140625" defaultRowHeight="12.75" x14ac:dyDescent="0.2"/>
  <cols>
    <col min="1" max="1" width="20.7109375" style="24" bestFit="1" customWidth="1"/>
    <col min="2" max="2" width="13.7109375" style="24" bestFit="1" customWidth="1"/>
    <col min="3" max="3" width="13.5703125" style="24" customWidth="1"/>
    <col min="4" max="5" width="14.7109375" style="24" bestFit="1" customWidth="1"/>
    <col min="6" max="6" width="9.7109375" style="24" bestFit="1" customWidth="1"/>
    <col min="7" max="7" width="9.5703125" style="24" bestFit="1" customWidth="1"/>
    <col min="8" max="8" width="10.28515625" style="24" bestFit="1" customWidth="1"/>
    <col min="9" max="9" width="23.42578125" style="24" customWidth="1"/>
    <col min="10" max="10" width="19.140625" style="24" customWidth="1"/>
    <col min="11" max="16384" width="9.140625" style="24"/>
  </cols>
  <sheetData>
    <row r="1" spans="1:10" ht="18.75" x14ac:dyDescent="0.3">
      <c r="A1" s="1" t="s">
        <v>45</v>
      </c>
      <c r="B1" s="2"/>
      <c r="C1" s="2"/>
      <c r="D1" s="2"/>
    </row>
    <row r="2" spans="1:10" ht="18.75" x14ac:dyDescent="0.3">
      <c r="A2" s="1"/>
      <c r="B2" s="2" t="s">
        <v>1</v>
      </c>
      <c r="C2" s="2" t="s">
        <v>2</v>
      </c>
      <c r="D2" s="2"/>
      <c r="E2"/>
      <c r="F2"/>
      <c r="G2"/>
      <c r="H2"/>
    </row>
    <row r="3" spans="1:10" ht="15" x14ac:dyDescent="0.25">
      <c r="A3" s="25" t="s">
        <v>46</v>
      </c>
      <c r="B3" s="4">
        <v>15000000</v>
      </c>
      <c r="C3" s="4">
        <f>B3/40*90</f>
        <v>33750000</v>
      </c>
      <c r="D3" s="26" t="s">
        <v>47</v>
      </c>
      <c r="E3" s="174" t="s">
        <v>5</v>
      </c>
      <c r="F3" s="174"/>
      <c r="G3"/>
      <c r="H3"/>
    </row>
    <row r="4" spans="1:10" ht="15" x14ac:dyDescent="0.25">
      <c r="A4" s="25" t="s">
        <v>3</v>
      </c>
      <c r="B4" s="4">
        <v>39913952.769143306</v>
      </c>
      <c r="C4" s="4">
        <f>B4/70*90</f>
        <v>51317939.274612829</v>
      </c>
      <c r="D4" s="26" t="s">
        <v>48</v>
      </c>
      <c r="E4" s="174"/>
      <c r="F4" s="174"/>
      <c r="J4" s="61"/>
    </row>
    <row r="5" spans="1:10" ht="15" x14ac:dyDescent="0.25">
      <c r="A5" s="25" t="s">
        <v>6</v>
      </c>
      <c r="B5" s="4">
        <v>71527467</v>
      </c>
      <c r="C5" s="4">
        <f>B5/85*90</f>
        <v>75734965.058823526</v>
      </c>
      <c r="D5" s="26" t="s">
        <v>49</v>
      </c>
      <c r="E5" s="174"/>
      <c r="F5" s="174"/>
    </row>
    <row r="6" spans="1:10" x14ac:dyDescent="0.2">
      <c r="A6" s="3"/>
      <c r="B6" s="14"/>
      <c r="C6" s="14"/>
      <c r="D6" s="59"/>
    </row>
    <row r="7" spans="1:10" ht="38.25" customHeight="1" x14ac:dyDescent="0.25">
      <c r="A7" s="16"/>
      <c r="B7" s="168" t="s">
        <v>50</v>
      </c>
      <c r="C7" s="169"/>
      <c r="D7" s="172"/>
      <c r="E7" s="172"/>
      <c r="F7" s="172"/>
      <c r="G7" s="172"/>
      <c r="H7" s="173"/>
    </row>
    <row r="8" spans="1:10" ht="30" x14ac:dyDescent="0.25">
      <c r="A8" s="16"/>
      <c r="B8" s="79" t="s">
        <v>31</v>
      </c>
      <c r="C8" s="7" t="s">
        <v>11</v>
      </c>
      <c r="D8" s="7" t="s">
        <v>1</v>
      </c>
      <c r="E8" s="79" t="s">
        <v>2</v>
      </c>
      <c r="F8" s="6" t="s">
        <v>12</v>
      </c>
      <c r="G8" s="79" t="s">
        <v>13</v>
      </c>
      <c r="H8" s="79" t="s">
        <v>51</v>
      </c>
    </row>
    <row r="9" spans="1:10" ht="15" x14ac:dyDescent="0.25">
      <c r="A9" s="8" t="s">
        <v>15</v>
      </c>
      <c r="B9" s="27">
        <v>47786</v>
      </c>
      <c r="C9" s="39">
        <f>(B9/B23)*100</f>
        <v>11.052951748288949</v>
      </c>
      <c r="D9" s="63">
        <f>C9/SUM(C$9:C$13)*$B$4</f>
        <v>12050570.499985987</v>
      </c>
      <c r="E9" s="19">
        <f>C9/SUM(C$9:C$13)*$C$4</f>
        <v>15493590.642839128</v>
      </c>
      <c r="F9" s="42">
        <f>E9/SUM(E$9:E$22)*100</f>
        <v>9.6351435361590578</v>
      </c>
      <c r="G9" s="18">
        <f t="shared" ref="G9:G22" si="0">F9-C9</f>
        <v>-1.4178082121298914</v>
      </c>
      <c r="H9" s="19">
        <f>E9/$B9</f>
        <v>324.22865782528623</v>
      </c>
    </row>
    <row r="10" spans="1:10" ht="15" x14ac:dyDescent="0.25">
      <c r="A10" s="8" t="s">
        <v>14</v>
      </c>
      <c r="B10" s="27">
        <v>27344</v>
      </c>
      <c r="C10" s="39">
        <f>(B10/B23)*100</f>
        <v>6.3246957813002354</v>
      </c>
      <c r="D10" s="63">
        <f t="shared" ref="D10:D13" si="1">C10/SUM(C$9:C$13)*$B$4</f>
        <v>6895550.9930024864</v>
      </c>
      <c r="E10" s="19">
        <f>C10/SUM(C$9:C$13)*$C$4</f>
        <v>8865708.4195746277</v>
      </c>
      <c r="F10" s="42">
        <f t="shared" ref="F10:F22" si="2">E10/SUM(E$9:E$22)*100</f>
        <v>5.5134006791263825</v>
      </c>
      <c r="G10" s="18">
        <f t="shared" si="0"/>
        <v>-0.81129510217385281</v>
      </c>
      <c r="H10" s="19">
        <f t="shared" ref="H10:H22" si="3">E10/$B10</f>
        <v>324.22865782528629</v>
      </c>
    </row>
    <row r="11" spans="1:10" ht="15" x14ac:dyDescent="0.25">
      <c r="A11" s="8" t="s">
        <v>16</v>
      </c>
      <c r="B11" s="27">
        <v>20757</v>
      </c>
      <c r="C11" s="39">
        <f>(B11/B23)*100</f>
        <v>4.8011157962422839</v>
      </c>
      <c r="D11" s="63">
        <f t="shared" si="1"/>
        <v>5234455.5281506963</v>
      </c>
      <c r="E11" s="19">
        <f>C11/SUM(C$9:C$13)*$C$4</f>
        <v>6730014.2504794672</v>
      </c>
      <c r="F11" s="42">
        <f t="shared" si="2"/>
        <v>4.1852566521586576</v>
      </c>
      <c r="G11" s="18">
        <f t="shared" si="0"/>
        <v>-0.6158591440836263</v>
      </c>
      <c r="H11" s="19">
        <f t="shared" si="3"/>
        <v>324.22865782528629</v>
      </c>
    </row>
    <row r="12" spans="1:10" ht="15" x14ac:dyDescent="0.25">
      <c r="A12" s="8" t="s">
        <v>17</v>
      </c>
      <c r="B12" s="27">
        <v>23168</v>
      </c>
      <c r="C12" s="39">
        <f>(B12/B23)*100</f>
        <v>5.3587826163386438</v>
      </c>
      <c r="D12" s="63">
        <f t="shared" si="1"/>
        <v>5842456.3123859577</v>
      </c>
      <c r="E12" s="19">
        <f>C12/SUM(C$9:C$13)*$C$4</f>
        <v>7511729.5444962326</v>
      </c>
      <c r="F12" s="42">
        <f t="shared" si="2"/>
        <v>4.6713892237419552</v>
      </c>
      <c r="G12" s="18">
        <f t="shared" si="0"/>
        <v>-0.68739339259668863</v>
      </c>
      <c r="H12" s="19">
        <f t="shared" si="3"/>
        <v>324.22865782528629</v>
      </c>
    </row>
    <row r="13" spans="1:10" ht="15" x14ac:dyDescent="0.25">
      <c r="A13" s="8" t="s">
        <v>18</v>
      </c>
      <c r="B13" s="27">
        <v>39222</v>
      </c>
      <c r="C13" s="39">
        <f>(B13/B23)*100</f>
        <v>9.0720895967728872</v>
      </c>
      <c r="D13" s="63">
        <f t="shared" si="1"/>
        <v>9890919.4356181808</v>
      </c>
      <c r="E13" s="19">
        <f>C13/SUM(C$9:C$13)*$C$4</f>
        <v>12716896.417223377</v>
      </c>
      <c r="F13" s="42">
        <f t="shared" si="2"/>
        <v>7.9083748331149408</v>
      </c>
      <c r="G13" s="18">
        <f t="shared" si="0"/>
        <v>-1.1637147636579463</v>
      </c>
      <c r="H13" s="19">
        <f t="shared" si="3"/>
        <v>324.22865782528623</v>
      </c>
    </row>
    <row r="14" spans="1:10" ht="15" x14ac:dyDescent="0.25">
      <c r="A14" s="9" t="s">
        <v>19</v>
      </c>
      <c r="B14" s="28">
        <v>10541</v>
      </c>
      <c r="C14" s="40">
        <f>(B14/B23)*100</f>
        <v>2.4381443179741726</v>
      </c>
      <c r="D14" s="64">
        <f>C14/SUM(C$14:C$21)*$B$5</f>
        <v>3681894.6842287746</v>
      </c>
      <c r="E14" s="21">
        <f>C14/SUM(C$14:C$21)*$C$5</f>
        <v>3898476.7244775258</v>
      </c>
      <c r="F14" s="43">
        <f t="shared" si="2"/>
        <v>2.4243820350369756</v>
      </c>
      <c r="G14" s="20">
        <f t="shared" si="0"/>
        <v>-1.3762282937197057E-2</v>
      </c>
      <c r="H14" s="21">
        <f t="shared" si="3"/>
        <v>369.83936291409981</v>
      </c>
    </row>
    <row r="15" spans="1:10" ht="15" x14ac:dyDescent="0.25">
      <c r="A15" s="9" t="s">
        <v>20</v>
      </c>
      <c r="B15" s="28">
        <v>22966</v>
      </c>
      <c r="C15" s="40">
        <f>(B15/B23)*100</f>
        <v>5.3120598051982597</v>
      </c>
      <c r="D15" s="64">
        <f t="shared" ref="D15:D21" si="4">C15/SUM(C$14:C$21)*$B$5</f>
        <v>8021856.8748693718</v>
      </c>
      <c r="E15" s="21">
        <f t="shared" ref="E15:E21" si="5">C15/SUM(C$14:C$21)*$C$5</f>
        <v>8493730.8086852171</v>
      </c>
      <c r="F15" s="43">
        <f t="shared" si="2"/>
        <v>5.2820754972639401</v>
      </c>
      <c r="G15" s="20">
        <f t="shared" si="0"/>
        <v>-2.998430793431961E-2</v>
      </c>
      <c r="H15" s="21">
        <f t="shared" si="3"/>
        <v>369.83936291409987</v>
      </c>
    </row>
    <row r="16" spans="1:10" ht="15" x14ac:dyDescent="0.25">
      <c r="A16" s="9" t="s">
        <v>21</v>
      </c>
      <c r="B16" s="28">
        <v>16117</v>
      </c>
      <c r="C16" s="40">
        <f>(B16/B23)*100</f>
        <v>3.7278789462849584</v>
      </c>
      <c r="D16" s="64">
        <f t="shared" si="4"/>
        <v>5629550.9558595177</v>
      </c>
      <c r="E16" s="21">
        <f t="shared" si="5"/>
        <v>5960701.0120865479</v>
      </c>
      <c r="F16" s="43">
        <f t="shared" si="2"/>
        <v>3.7068366624315479</v>
      </c>
      <c r="G16" s="20">
        <f t="shared" si="0"/>
        <v>-2.1042283853410559E-2</v>
      </c>
      <c r="H16" s="21">
        <f t="shared" si="3"/>
        <v>369.83936291409987</v>
      </c>
    </row>
    <row r="17" spans="1:9" ht="15" x14ac:dyDescent="0.25">
      <c r="A17" s="9" t="s">
        <v>22</v>
      </c>
      <c r="B17" s="28">
        <v>48499</v>
      </c>
      <c r="C17" s="40">
        <f>(B17/B23)*100</f>
        <v>11.217869393551789</v>
      </c>
      <c r="D17" s="64">
        <f t="shared" si="4"/>
        <v>16940348.191861432</v>
      </c>
      <c r="E17" s="21">
        <f t="shared" si="5"/>
        <v>17936839.261970926</v>
      </c>
      <c r="F17" s="43">
        <f t="shared" si="2"/>
        <v>11.15454931384672</v>
      </c>
      <c r="G17" s="20">
        <f t="shared" si="0"/>
        <v>-6.3320079705068366E-2</v>
      </c>
      <c r="H17" s="21">
        <f t="shared" si="3"/>
        <v>369.83936291409981</v>
      </c>
    </row>
    <row r="18" spans="1:9" ht="15" x14ac:dyDescent="0.25">
      <c r="A18" s="9" t="s">
        <v>23</v>
      </c>
      <c r="B18" s="28">
        <v>27470</v>
      </c>
      <c r="C18" s="40">
        <f>(B18/B23)*100</f>
        <v>6.3538397130016637</v>
      </c>
      <c r="D18" s="64">
        <f t="shared" si="4"/>
        <v>9595071.3381808605</v>
      </c>
      <c r="E18" s="21">
        <f t="shared" si="5"/>
        <v>10159487.299250323</v>
      </c>
      <c r="F18" s="43">
        <f t="shared" si="2"/>
        <v>6.3179750026056105</v>
      </c>
      <c r="G18" s="20">
        <f t="shared" si="0"/>
        <v>-3.5864710396053212E-2</v>
      </c>
      <c r="H18" s="21">
        <f t="shared" si="3"/>
        <v>369.83936291409987</v>
      </c>
    </row>
    <row r="19" spans="1:9" ht="15" x14ac:dyDescent="0.25">
      <c r="A19" s="9" t="s">
        <v>24</v>
      </c>
      <c r="B19" s="28">
        <v>22212</v>
      </c>
      <c r="C19" s="40">
        <f>(B19/B23)*100</f>
        <v>5.1376588170801947</v>
      </c>
      <c r="D19" s="64">
        <f t="shared" si="4"/>
        <v>7758490.155211987</v>
      </c>
      <c r="E19" s="21">
        <f t="shared" si="5"/>
        <v>8214871.9290479859</v>
      </c>
      <c r="F19" s="43">
        <f t="shared" si="2"/>
        <v>5.1086589282080741</v>
      </c>
      <c r="G19" s="20">
        <f t="shared" si="0"/>
        <v>-2.8999888872120572E-2</v>
      </c>
      <c r="H19" s="21">
        <f t="shared" si="3"/>
        <v>369.83936291409987</v>
      </c>
    </row>
    <row r="20" spans="1:9" ht="15" x14ac:dyDescent="0.25">
      <c r="A20" s="9" t="s">
        <v>25</v>
      </c>
      <c r="B20" s="28">
        <v>32379</v>
      </c>
      <c r="C20" s="40">
        <f>(B20/B23)*100</f>
        <v>7.4892965441310828</v>
      </c>
      <c r="D20" s="64">
        <f t="shared" si="4"/>
        <v>11309749.357806992</v>
      </c>
      <c r="E20" s="21">
        <f t="shared" si="5"/>
        <v>11975028.731795637</v>
      </c>
      <c r="F20" s="43">
        <f t="shared" si="2"/>
        <v>7.4470226650661457</v>
      </c>
      <c r="G20" s="20">
        <f t="shared" si="0"/>
        <v>-4.227387906493707E-2</v>
      </c>
      <c r="H20" s="21">
        <f t="shared" si="3"/>
        <v>369.83936291409981</v>
      </c>
    </row>
    <row r="21" spans="1:9" ht="15" x14ac:dyDescent="0.25">
      <c r="A21" s="9" t="s">
        <v>26</v>
      </c>
      <c r="B21" s="28">
        <v>24594</v>
      </c>
      <c r="C21" s="40">
        <f>(B21/B23)*100</f>
        <v>5.6886179068643212</v>
      </c>
      <c r="D21" s="64">
        <f t="shared" si="4"/>
        <v>8590505.4419810735</v>
      </c>
      <c r="E21" s="21">
        <f t="shared" si="5"/>
        <v>9095829.2915093713</v>
      </c>
      <c r="F21" s="43">
        <f t="shared" si="2"/>
        <v>5.6565080893368167</v>
      </c>
      <c r="G21" s="20">
        <f t="shared" si="0"/>
        <v>-3.2109817527504525E-2</v>
      </c>
      <c r="H21" s="21">
        <f t="shared" si="3"/>
        <v>369.83936291409981</v>
      </c>
    </row>
    <row r="22" spans="1:9" ht="15" x14ac:dyDescent="0.25">
      <c r="A22" s="29" t="s">
        <v>52</v>
      </c>
      <c r="B22" s="30">
        <v>69282</v>
      </c>
      <c r="C22" s="41">
        <f>(B22/B23)*100</f>
        <v>16.024999016970558</v>
      </c>
      <c r="D22" s="65">
        <f>B3</f>
        <v>15000000</v>
      </c>
      <c r="E22" s="32">
        <f>C3</f>
        <v>33750000</v>
      </c>
      <c r="F22" s="44">
        <f t="shared" si="2"/>
        <v>20.988426881903173</v>
      </c>
      <c r="G22" s="31">
        <f t="shared" si="0"/>
        <v>4.9634278649326156</v>
      </c>
      <c r="H22" s="32">
        <f t="shared" si="3"/>
        <v>487.13951675759938</v>
      </c>
    </row>
    <row r="23" spans="1:9" ht="15" x14ac:dyDescent="0.25">
      <c r="A23" s="22" t="s">
        <v>27</v>
      </c>
      <c r="B23" s="33">
        <v>432337</v>
      </c>
      <c r="C23" s="34">
        <f>SUM(C9:C22)</f>
        <v>99.999999999999986</v>
      </c>
      <c r="D23" s="62"/>
      <c r="E23" s="35"/>
      <c r="F23" s="35"/>
      <c r="G23" s="35"/>
      <c r="H23" s="35"/>
    </row>
    <row r="27" spans="1:9" ht="18.75" x14ac:dyDescent="0.3">
      <c r="A27" s="1"/>
      <c r="B27" s="2" t="s">
        <v>1</v>
      </c>
      <c r="C27" s="2" t="s">
        <v>2</v>
      </c>
      <c r="D27" s="2"/>
      <c r="E27"/>
      <c r="F27"/>
      <c r="G27"/>
      <c r="H27"/>
    </row>
    <row r="28" spans="1:9" ht="15" x14ac:dyDescent="0.25">
      <c r="A28" s="25" t="s">
        <v>46</v>
      </c>
      <c r="B28" s="4">
        <f>B3*24.5</f>
        <v>367500000</v>
      </c>
      <c r="C28" s="4">
        <f>B28/40*90</f>
        <v>826875000</v>
      </c>
      <c r="D28" s="26" t="s">
        <v>47</v>
      </c>
      <c r="E28" s="174" t="s">
        <v>28</v>
      </c>
      <c r="F28" s="174"/>
      <c r="G28"/>
      <c r="H28"/>
    </row>
    <row r="29" spans="1:9" ht="15" x14ac:dyDescent="0.25">
      <c r="A29" s="25" t="s">
        <v>3</v>
      </c>
      <c r="B29" s="4">
        <v>977080999.10078871</v>
      </c>
      <c r="C29" s="4">
        <f>B29/70*90</f>
        <v>1256246998.8438711</v>
      </c>
      <c r="D29" s="26" t="s">
        <v>48</v>
      </c>
      <c r="E29" s="174"/>
      <c r="F29" s="174"/>
      <c r="I29" s="111"/>
    </row>
    <row r="30" spans="1:9" ht="15" x14ac:dyDescent="0.25">
      <c r="A30" s="25" t="s">
        <v>6</v>
      </c>
      <c r="B30" s="4">
        <f>B5*24.5</f>
        <v>1752422941.5</v>
      </c>
      <c r="C30" s="4">
        <f>B30/85*90</f>
        <v>1855506643.9411764</v>
      </c>
      <c r="D30" s="26" t="s">
        <v>49</v>
      </c>
      <c r="E30" s="174"/>
      <c r="F30" s="174"/>
    </row>
    <row r="31" spans="1:9" x14ac:dyDescent="0.2">
      <c r="A31" s="3"/>
      <c r="B31" s="14">
        <f>SUM(B28:B30)</f>
        <v>3097003940.6007886</v>
      </c>
      <c r="C31" s="14"/>
      <c r="D31" s="59"/>
    </row>
    <row r="32" spans="1:9" ht="15" x14ac:dyDescent="0.25">
      <c r="A32" s="16"/>
      <c r="B32" s="168" t="s">
        <v>50</v>
      </c>
      <c r="C32" s="169"/>
      <c r="D32" s="172"/>
      <c r="E32" s="172"/>
      <c r="F32" s="172"/>
      <c r="G32" s="172"/>
      <c r="H32" s="173"/>
    </row>
    <row r="33" spans="1:8" ht="30" x14ac:dyDescent="0.25">
      <c r="A33" s="16"/>
      <c r="B33" s="79" t="s">
        <v>31</v>
      </c>
      <c r="C33" s="7" t="s">
        <v>11</v>
      </c>
      <c r="D33" s="7" t="s">
        <v>1</v>
      </c>
      <c r="E33" s="79" t="s">
        <v>2</v>
      </c>
      <c r="F33" s="6" t="s">
        <v>12</v>
      </c>
      <c r="G33" s="79" t="s">
        <v>13</v>
      </c>
      <c r="H33" s="79" t="s">
        <v>51</v>
      </c>
    </row>
    <row r="34" spans="1:8" ht="15" x14ac:dyDescent="0.25">
      <c r="A34" s="8" t="s">
        <v>15</v>
      </c>
      <c r="B34" s="27">
        <v>47786</v>
      </c>
      <c r="C34" s="39">
        <f>(B34/B48)*100</f>
        <v>11.052951748288949</v>
      </c>
      <c r="D34" s="63">
        <f>C34/SUM(C$9:C$13)*$B$29</f>
        <v>294994172.38784087</v>
      </c>
      <c r="E34" s="19">
        <f>C34/SUM(C$9:C$13)*$C$29</f>
        <v>379278221.64150965</v>
      </c>
      <c r="F34" s="42">
        <f>E34/SUM(E$34:E$47)*100</f>
        <v>9.6297025193346943</v>
      </c>
      <c r="G34" s="18">
        <f t="shared" ref="G34:G47" si="6">F34-C34</f>
        <v>-1.4232492289542549</v>
      </c>
      <c r="H34" s="19">
        <f>E34/$B34</f>
        <v>7937.0154782051159</v>
      </c>
    </row>
    <row r="35" spans="1:8" ht="15" x14ac:dyDescent="0.25">
      <c r="A35" s="8" t="s">
        <v>14</v>
      </c>
      <c r="B35" s="27">
        <v>27344</v>
      </c>
      <c r="C35" s="39">
        <f>(B35/B48)*100</f>
        <v>6.3246957813002354</v>
      </c>
      <c r="D35" s="63">
        <f t="shared" ref="D35:D38" si="7">C35/SUM(C$9:C$13)*$B$29</f>
        <v>168800917.62803167</v>
      </c>
      <c r="E35" s="19">
        <f t="shared" ref="E35:E38" si="8">C35/SUM(C$9:C$13)*$C$29</f>
        <v>217029751.23604068</v>
      </c>
      <c r="F35" s="42">
        <f t="shared" ref="F35:F47" si="9">E35/SUM(E$34:E$47)*100</f>
        <v>5.5102872324255623</v>
      </c>
      <c r="G35" s="18">
        <f t="shared" si="6"/>
        <v>-0.81440854887467307</v>
      </c>
      <c r="H35" s="19">
        <f t="shared" ref="H35:H47" si="10">E35/$B35</f>
        <v>7937.0154782051159</v>
      </c>
    </row>
    <row r="36" spans="1:8" ht="15" x14ac:dyDescent="0.25">
      <c r="A36" s="8" t="s">
        <v>16</v>
      </c>
      <c r="B36" s="27">
        <v>20757</v>
      </c>
      <c r="C36" s="39">
        <f>(B36/B48)*100</f>
        <v>4.8011157962422839</v>
      </c>
      <c r="D36" s="63">
        <f t="shared" si="7"/>
        <v>128137823.55196948</v>
      </c>
      <c r="E36" s="19">
        <f t="shared" si="8"/>
        <v>164748630.28110361</v>
      </c>
      <c r="F36" s="42">
        <f t="shared" si="9"/>
        <v>4.1828932154570442</v>
      </c>
      <c r="G36" s="18">
        <f t="shared" si="6"/>
        <v>-0.61822258078523973</v>
      </c>
      <c r="H36" s="19">
        <f t="shared" si="10"/>
        <v>7937.0154782051168</v>
      </c>
    </row>
    <row r="37" spans="1:8" ht="15" x14ac:dyDescent="0.25">
      <c r="A37" s="8" t="s">
        <v>17</v>
      </c>
      <c r="B37" s="27">
        <v>23168</v>
      </c>
      <c r="C37" s="39">
        <f>(B37/B48)*100</f>
        <v>5.3587826163386438</v>
      </c>
      <c r="D37" s="63">
        <f t="shared" si="7"/>
        <v>143021491.35482147</v>
      </c>
      <c r="E37" s="19">
        <f t="shared" si="8"/>
        <v>183884774.59905615</v>
      </c>
      <c r="F37" s="42">
        <f t="shared" si="9"/>
        <v>4.6687512653904122</v>
      </c>
      <c r="G37" s="18">
        <f t="shared" si="6"/>
        <v>-0.69003135094823165</v>
      </c>
      <c r="H37" s="19">
        <f t="shared" si="10"/>
        <v>7937.0154782051168</v>
      </c>
    </row>
    <row r="38" spans="1:8" ht="15" x14ac:dyDescent="0.25">
      <c r="A38" s="8" t="s">
        <v>18</v>
      </c>
      <c r="B38" s="27">
        <v>39222</v>
      </c>
      <c r="C38" s="39">
        <f>(B38/B48)*100</f>
        <v>9.0720895967728872</v>
      </c>
      <c r="D38" s="63">
        <f t="shared" si="7"/>
        <v>242126594.17812529</v>
      </c>
      <c r="E38" s="19">
        <f t="shared" si="8"/>
        <v>311305621.08616108</v>
      </c>
      <c r="F38" s="42">
        <f t="shared" si="9"/>
        <v>7.9039089317654838</v>
      </c>
      <c r="G38" s="18">
        <f t="shared" si="6"/>
        <v>-1.1681806650074034</v>
      </c>
      <c r="H38" s="19">
        <f t="shared" si="10"/>
        <v>7937.0154782051168</v>
      </c>
    </row>
    <row r="39" spans="1:8" ht="15" x14ac:dyDescent="0.25">
      <c r="A39" s="9" t="s">
        <v>19</v>
      </c>
      <c r="B39" s="28">
        <v>10541</v>
      </c>
      <c r="C39" s="40">
        <f>(B39/B48)*100</f>
        <v>2.4381443179741726</v>
      </c>
      <c r="D39" s="64">
        <f>C39/SUM(C$14:C$21)*$B$30</f>
        <v>90206419.763604969</v>
      </c>
      <c r="E39" s="21">
        <f>C39/SUM(C$14:C$21)*$C$30</f>
        <v>95512679.749699384</v>
      </c>
      <c r="F39" s="43">
        <f t="shared" si="9"/>
        <v>2.4250237433443664</v>
      </c>
      <c r="G39" s="20">
        <f t="shared" si="6"/>
        <v>-1.3120574629806203E-2</v>
      </c>
      <c r="H39" s="21">
        <f t="shared" si="10"/>
        <v>9061.0643913954445</v>
      </c>
    </row>
    <row r="40" spans="1:8" ht="15" x14ac:dyDescent="0.25">
      <c r="A40" s="9" t="s">
        <v>20</v>
      </c>
      <c r="B40" s="28">
        <v>22966</v>
      </c>
      <c r="C40" s="40">
        <f>(B40/B48)*100</f>
        <v>5.3120598051982597</v>
      </c>
      <c r="D40" s="64">
        <f t="shared" ref="D40:D46" si="11">C40/SUM(C$14:C$21)*$B$30</f>
        <v>196535493.43429959</v>
      </c>
      <c r="E40" s="21">
        <f t="shared" ref="E40:E46" si="12">C40/SUM(C$14:C$21)*$C$30</f>
        <v>208096404.8127878</v>
      </c>
      <c r="F40" s="43">
        <f t="shared" si="9"/>
        <v>5.283473606834904</v>
      </c>
      <c r="G40" s="20">
        <f t="shared" si="6"/>
        <v>-2.8586198363355741E-2</v>
      </c>
      <c r="H40" s="21">
        <f t="shared" si="10"/>
        <v>9061.0643913954464</v>
      </c>
    </row>
    <row r="41" spans="1:8" ht="15" x14ac:dyDescent="0.25">
      <c r="A41" s="9" t="s">
        <v>21</v>
      </c>
      <c r="B41" s="28">
        <v>16117</v>
      </c>
      <c r="C41" s="40">
        <f>(B41/B48)*100</f>
        <v>3.7278789462849584</v>
      </c>
      <c r="D41" s="64">
        <f t="shared" si="11"/>
        <v>137923998.41855818</v>
      </c>
      <c r="E41" s="21">
        <f t="shared" si="12"/>
        <v>146037174.79612041</v>
      </c>
      <c r="F41" s="43">
        <f t="shared" si="9"/>
        <v>3.7078178229277259</v>
      </c>
      <c r="G41" s="20">
        <f t="shared" si="6"/>
        <v>-2.0061123357232535E-2</v>
      </c>
      <c r="H41" s="21">
        <f t="shared" si="10"/>
        <v>9061.0643913954464</v>
      </c>
    </row>
    <row r="42" spans="1:8" ht="15" x14ac:dyDescent="0.25">
      <c r="A42" s="9" t="s">
        <v>22</v>
      </c>
      <c r="B42" s="28">
        <v>48499</v>
      </c>
      <c r="C42" s="40">
        <f>(B42/B48)*100</f>
        <v>11.217869393551789</v>
      </c>
      <c r="D42" s="64">
        <f t="shared" si="11"/>
        <v>415038530.70060509</v>
      </c>
      <c r="E42" s="21">
        <f t="shared" si="12"/>
        <v>439452561.91828769</v>
      </c>
      <c r="F42" s="43">
        <f t="shared" si="9"/>
        <v>11.157501805185317</v>
      </c>
      <c r="G42" s="20">
        <f t="shared" si="6"/>
        <v>-6.0367588366471381E-2</v>
      </c>
      <c r="H42" s="21">
        <f t="shared" si="10"/>
        <v>9061.0643913954445</v>
      </c>
    </row>
    <row r="43" spans="1:8" ht="15" x14ac:dyDescent="0.25">
      <c r="A43" s="9" t="s">
        <v>23</v>
      </c>
      <c r="B43" s="28">
        <v>27470</v>
      </c>
      <c r="C43" s="40">
        <f>(B43/B48)*100</f>
        <v>6.3538397130016637</v>
      </c>
      <c r="D43" s="64">
        <f t="shared" si="11"/>
        <v>235079247.78543109</v>
      </c>
      <c r="E43" s="21">
        <f t="shared" si="12"/>
        <v>248907438.83163291</v>
      </c>
      <c r="F43" s="43">
        <f t="shared" si="9"/>
        <v>6.3196473038297842</v>
      </c>
      <c r="G43" s="20">
        <f t="shared" si="6"/>
        <v>-3.419240917187949E-2</v>
      </c>
      <c r="H43" s="21">
        <f t="shared" si="10"/>
        <v>9061.0643913954464</v>
      </c>
    </row>
    <row r="44" spans="1:8" ht="15" x14ac:dyDescent="0.25">
      <c r="A44" s="9" t="s">
        <v>24</v>
      </c>
      <c r="B44" s="28">
        <v>22212</v>
      </c>
      <c r="C44" s="40">
        <f>(B44/B48)*100</f>
        <v>5.1376588170801947</v>
      </c>
      <c r="D44" s="64">
        <f t="shared" si="11"/>
        <v>190083008.80269367</v>
      </c>
      <c r="E44" s="21">
        <f t="shared" si="12"/>
        <v>201264362.26167566</v>
      </c>
      <c r="F44" s="43">
        <f t="shared" si="9"/>
        <v>5.1100111362456193</v>
      </c>
      <c r="G44" s="20">
        <f t="shared" si="6"/>
        <v>-2.7647680834575361E-2</v>
      </c>
      <c r="H44" s="21">
        <f t="shared" si="10"/>
        <v>9061.0643913954464</v>
      </c>
    </row>
    <row r="45" spans="1:8" ht="15" x14ac:dyDescent="0.25">
      <c r="A45" s="9" t="s">
        <v>25</v>
      </c>
      <c r="B45" s="28">
        <v>32379</v>
      </c>
      <c r="C45" s="40">
        <f>(B45/B48)*100</f>
        <v>7.4892965441310828</v>
      </c>
      <c r="D45" s="64">
        <f t="shared" si="11"/>
        <v>277088859.26627129</v>
      </c>
      <c r="E45" s="21">
        <f t="shared" si="12"/>
        <v>293388203.92899311</v>
      </c>
      <c r="F45" s="43">
        <f t="shared" si="9"/>
        <v>7.4489938132764664</v>
      </c>
      <c r="G45" s="20">
        <f t="shared" si="6"/>
        <v>-4.0302730854616442E-2</v>
      </c>
      <c r="H45" s="21">
        <f t="shared" si="10"/>
        <v>9061.0643913954445</v>
      </c>
    </row>
    <row r="46" spans="1:8" ht="15" x14ac:dyDescent="0.25">
      <c r="A46" s="9" t="s">
        <v>26</v>
      </c>
      <c r="B46" s="28">
        <v>24594</v>
      </c>
      <c r="C46" s="40">
        <f>(B46/B48)*100</f>
        <v>5.6886179068643212</v>
      </c>
      <c r="D46" s="64">
        <f t="shared" si="11"/>
        <v>210467383.3285363</v>
      </c>
      <c r="E46" s="21">
        <f t="shared" si="12"/>
        <v>222847817.6419796</v>
      </c>
      <c r="F46" s="43">
        <f t="shared" si="9"/>
        <v>5.6580053072584535</v>
      </c>
      <c r="G46" s="20">
        <f t="shared" si="6"/>
        <v>-3.0612599605867707E-2</v>
      </c>
      <c r="H46" s="21">
        <f t="shared" si="10"/>
        <v>9061.0643913954464</v>
      </c>
    </row>
    <row r="47" spans="1:8" ht="15" x14ac:dyDescent="0.25">
      <c r="A47" s="29" t="s">
        <v>52</v>
      </c>
      <c r="B47" s="30">
        <v>69282</v>
      </c>
      <c r="C47" s="41">
        <f>(B47/B48)*100</f>
        <v>16.024999016970558</v>
      </c>
      <c r="D47" s="65">
        <f>B28</f>
        <v>367500000</v>
      </c>
      <c r="E47" s="32">
        <f>C28</f>
        <v>826875000</v>
      </c>
      <c r="F47" s="44">
        <f t="shared" si="9"/>
        <v>20.993982296724159</v>
      </c>
      <c r="G47" s="31">
        <f t="shared" si="6"/>
        <v>4.9689832797536013</v>
      </c>
      <c r="H47" s="32">
        <f t="shared" si="10"/>
        <v>11934.918160561185</v>
      </c>
    </row>
    <row r="48" spans="1:8" ht="15" x14ac:dyDescent="0.25">
      <c r="A48" s="22" t="s">
        <v>27</v>
      </c>
      <c r="B48" s="33">
        <v>432337</v>
      </c>
      <c r="C48" s="34">
        <f>SUM(C34:C47)</f>
        <v>99.999999999999986</v>
      </c>
      <c r="D48" s="62"/>
      <c r="E48" s="35"/>
      <c r="F48" s="35"/>
      <c r="G48" s="35"/>
      <c r="H48" s="35"/>
    </row>
    <row r="49" spans="4:4" x14ac:dyDescent="0.2">
      <c r="D49" s="110"/>
    </row>
  </sheetData>
  <mergeCells count="4">
    <mergeCell ref="B7:H7"/>
    <mergeCell ref="B32:H32"/>
    <mergeCell ref="E3:F5"/>
    <mergeCell ref="E28:F30"/>
  </mergeCells>
  <pageMargins left="0.7" right="0.7" top="0.78740157499999996" bottom="0.78740157499999996" header="0.3" footer="0.3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18" sqref="B18"/>
    </sheetView>
  </sheetViews>
  <sheetFormatPr defaultRowHeight="12.75" x14ac:dyDescent="0.2"/>
  <cols>
    <col min="1" max="1" width="38.140625" customWidth="1"/>
    <col min="2" max="2" width="37.42578125" customWidth="1"/>
    <col min="3" max="3" width="18.140625" customWidth="1"/>
  </cols>
  <sheetData>
    <row r="1" spans="1:3" ht="18.75" x14ac:dyDescent="0.3">
      <c r="A1" s="1" t="s">
        <v>53</v>
      </c>
    </row>
    <row r="4" spans="1:3" ht="13.5" thickBot="1" x14ac:dyDescent="0.25">
      <c r="A4" s="75" t="s">
        <v>54</v>
      </c>
      <c r="B4" s="75" t="s">
        <v>55</v>
      </c>
      <c r="C4" s="75" t="s">
        <v>2</v>
      </c>
    </row>
    <row r="5" spans="1:3" ht="13.5" thickBot="1" x14ac:dyDescent="0.25">
      <c r="A5" s="74" t="s">
        <v>14</v>
      </c>
      <c r="B5" s="76">
        <v>51450000</v>
      </c>
      <c r="C5" s="77">
        <f>B5+(B5/70*15)</f>
        <v>62475000</v>
      </c>
    </row>
    <row r="6" spans="1:3" ht="13.5" thickBot="1" x14ac:dyDescent="0.25">
      <c r="A6" s="74" t="s">
        <v>15</v>
      </c>
      <c r="B6" s="76">
        <v>321300000</v>
      </c>
      <c r="C6" s="77">
        <f t="shared" ref="C6:C15" si="0">B6+(B6/70*15)</f>
        <v>390150000</v>
      </c>
    </row>
    <row r="7" spans="1:3" ht="13.5" thickBot="1" x14ac:dyDescent="0.25">
      <c r="A7" s="74" t="s">
        <v>19</v>
      </c>
      <c r="B7" s="76">
        <v>46750000</v>
      </c>
      <c r="C7" s="77">
        <f>B7</f>
        <v>46750000</v>
      </c>
    </row>
    <row r="8" spans="1:3" ht="13.5" thickBot="1" x14ac:dyDescent="0.25">
      <c r="A8" s="74" t="s">
        <v>16</v>
      </c>
      <c r="B8" s="76">
        <v>342650000</v>
      </c>
      <c r="C8" s="77">
        <f t="shared" si="0"/>
        <v>416075000</v>
      </c>
    </row>
    <row r="9" spans="1:3" ht="13.5" thickBot="1" x14ac:dyDescent="0.25">
      <c r="A9" s="74" t="s">
        <v>20</v>
      </c>
      <c r="B9" s="76">
        <v>394400000</v>
      </c>
      <c r="C9" s="77">
        <f>B9</f>
        <v>394400000</v>
      </c>
    </row>
    <row r="10" spans="1:3" ht="13.5" thickBot="1" x14ac:dyDescent="0.25">
      <c r="A10" s="74" t="s">
        <v>21</v>
      </c>
      <c r="B10" s="76">
        <v>178500000</v>
      </c>
      <c r="C10" s="77">
        <f>B10</f>
        <v>178500000</v>
      </c>
    </row>
    <row r="11" spans="1:3" ht="13.5" thickBot="1" x14ac:dyDescent="0.25">
      <c r="A11" s="74" t="s">
        <v>22</v>
      </c>
      <c r="B11" s="76">
        <v>215050000</v>
      </c>
      <c r="C11" s="77">
        <f>B11</f>
        <v>215050000</v>
      </c>
    </row>
    <row r="12" spans="1:3" ht="13.5" thickBot="1" x14ac:dyDescent="0.25">
      <c r="A12" s="74" t="s">
        <v>23</v>
      </c>
      <c r="B12" s="76">
        <v>374000000</v>
      </c>
      <c r="C12" s="77">
        <f>B12</f>
        <v>374000000</v>
      </c>
    </row>
    <row r="13" spans="1:3" ht="13.5" thickBot="1" x14ac:dyDescent="0.25">
      <c r="A13" s="74" t="s">
        <v>24</v>
      </c>
      <c r="B13" s="76">
        <v>187000000</v>
      </c>
      <c r="C13" s="77">
        <f>B13</f>
        <v>187000000</v>
      </c>
    </row>
    <row r="14" spans="1:3" ht="13.5" thickBot="1" x14ac:dyDescent="0.25">
      <c r="A14" s="74" t="s">
        <v>17</v>
      </c>
      <c r="B14" s="76">
        <v>185150000</v>
      </c>
      <c r="C14" s="77">
        <f t="shared" si="0"/>
        <v>224825000</v>
      </c>
    </row>
    <row r="15" spans="1:3" ht="13.5" thickBot="1" x14ac:dyDescent="0.25">
      <c r="A15" s="74" t="s">
        <v>18</v>
      </c>
      <c r="B15" s="76">
        <v>206500000</v>
      </c>
      <c r="C15" s="77">
        <f t="shared" si="0"/>
        <v>250750000</v>
      </c>
    </row>
    <row r="16" spans="1:3" ht="13.5" thickBot="1" x14ac:dyDescent="0.25">
      <c r="A16" s="74" t="s">
        <v>25</v>
      </c>
      <c r="B16" s="76">
        <v>73349475</v>
      </c>
      <c r="C16" s="77">
        <f>B16</f>
        <v>73349475</v>
      </c>
    </row>
    <row r="17" spans="1:3" ht="13.5" thickBot="1" x14ac:dyDescent="0.25">
      <c r="A17" s="74" t="s">
        <v>26</v>
      </c>
      <c r="B17" s="76">
        <v>387175000</v>
      </c>
      <c r="C17" s="77">
        <f>B17</f>
        <v>387175000</v>
      </c>
    </row>
    <row r="18" spans="1:3" ht="13.5" thickBot="1" x14ac:dyDescent="0.25">
      <c r="A18" s="73" t="s">
        <v>56</v>
      </c>
      <c r="B18" s="76">
        <f>SUM(B5:B17)</f>
        <v>2963274475</v>
      </c>
      <c r="C18" s="77">
        <f>SUM(C5:C17)</f>
        <v>3200499475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opLeftCell="A16" workbookViewId="0">
      <selection activeCell="I12" sqref="I12"/>
    </sheetView>
  </sheetViews>
  <sheetFormatPr defaultRowHeight="12.75" x14ac:dyDescent="0.2"/>
  <cols>
    <col min="2" max="2" width="19.28515625" customWidth="1"/>
    <col min="3" max="3" width="14.85546875" customWidth="1"/>
    <col min="4" max="4" width="20.7109375" customWidth="1"/>
    <col min="5" max="5" width="11.42578125" customWidth="1"/>
    <col min="6" max="6" width="15.140625" customWidth="1"/>
    <col min="7" max="7" width="15" customWidth="1"/>
    <col min="8" max="8" width="14.5703125" customWidth="1"/>
    <col min="9" max="9" width="20.28515625" customWidth="1"/>
  </cols>
  <sheetData>
    <row r="1" spans="1:9" ht="60.75" thickBot="1" x14ac:dyDescent="0.25">
      <c r="A1" s="95" t="s">
        <v>57</v>
      </c>
      <c r="B1" s="80" t="s">
        <v>58</v>
      </c>
      <c r="C1" s="80" t="s">
        <v>59</v>
      </c>
      <c r="D1" s="80" t="s">
        <v>60</v>
      </c>
      <c r="E1" s="80" t="s">
        <v>57</v>
      </c>
      <c r="F1" s="80" t="s">
        <v>61</v>
      </c>
      <c r="G1" s="80" t="s">
        <v>59</v>
      </c>
      <c r="H1" s="80" t="s">
        <v>62</v>
      </c>
    </row>
    <row r="2" spans="1:9" ht="15.75" thickBot="1" x14ac:dyDescent="0.25">
      <c r="A2" s="81">
        <v>2021</v>
      </c>
      <c r="B2" s="82">
        <v>0</v>
      </c>
      <c r="C2" s="91">
        <v>2021</v>
      </c>
      <c r="D2" s="84">
        <v>0</v>
      </c>
      <c r="E2" s="85">
        <v>2021</v>
      </c>
      <c r="F2" s="82">
        <v>0</v>
      </c>
      <c r="G2" s="92">
        <v>2021</v>
      </c>
      <c r="H2" s="84">
        <v>0</v>
      </c>
    </row>
    <row r="3" spans="1:9" ht="15.75" thickBot="1" x14ac:dyDescent="0.25">
      <c r="A3" s="81">
        <v>2022</v>
      </c>
      <c r="B3" s="86">
        <v>0.17080000000000001</v>
      </c>
      <c r="C3" s="83" t="s">
        <v>63</v>
      </c>
      <c r="D3" s="87">
        <v>0.17080000000000001</v>
      </c>
      <c r="E3" s="85">
        <v>2022</v>
      </c>
      <c r="F3" s="82">
        <v>0</v>
      </c>
      <c r="G3" s="83" t="s">
        <v>63</v>
      </c>
      <c r="H3" s="84">
        <v>0</v>
      </c>
    </row>
    <row r="4" spans="1:9" ht="15.75" thickBot="1" x14ac:dyDescent="0.25">
      <c r="A4" s="81">
        <v>2023</v>
      </c>
      <c r="B4" s="88">
        <v>0.1736</v>
      </c>
      <c r="C4" s="83" t="s">
        <v>64</v>
      </c>
      <c r="D4" s="89">
        <v>0.34439999999999998</v>
      </c>
      <c r="E4" s="85">
        <v>2023</v>
      </c>
      <c r="F4" s="82">
        <v>0</v>
      </c>
      <c r="G4" s="83" t="s">
        <v>64</v>
      </c>
      <c r="H4" s="84">
        <v>0</v>
      </c>
    </row>
    <row r="5" spans="1:9" ht="15.75" thickBot="1" x14ac:dyDescent="0.25">
      <c r="A5" s="81">
        <v>2024</v>
      </c>
      <c r="B5" s="88">
        <v>0.1764</v>
      </c>
      <c r="C5" s="83" t="s">
        <v>65</v>
      </c>
      <c r="D5" s="89">
        <v>0.52080000000000004</v>
      </c>
      <c r="E5" s="85">
        <v>2024</v>
      </c>
      <c r="F5" s="82">
        <v>0</v>
      </c>
      <c r="G5" s="83" t="s">
        <v>65</v>
      </c>
      <c r="H5" s="84">
        <v>0</v>
      </c>
    </row>
    <row r="6" spans="1:9" ht="15.75" thickBot="1" x14ac:dyDescent="0.25">
      <c r="A6" s="81">
        <v>2025</v>
      </c>
      <c r="B6" s="88">
        <v>0.1792</v>
      </c>
      <c r="C6" s="90" t="s">
        <v>66</v>
      </c>
      <c r="D6" s="89">
        <v>0.7</v>
      </c>
      <c r="E6" s="85">
        <v>2025</v>
      </c>
      <c r="F6" s="86">
        <v>0.17080000000000001</v>
      </c>
      <c r="G6" s="90" t="s">
        <v>66</v>
      </c>
      <c r="H6" s="89">
        <v>0.17080000000000001</v>
      </c>
    </row>
    <row r="7" spans="1:9" ht="15.75" thickBot="1" x14ac:dyDescent="0.25">
      <c r="A7" s="81">
        <v>2026</v>
      </c>
      <c r="B7" s="88">
        <v>0.14849999999999999</v>
      </c>
      <c r="C7" s="83" t="s">
        <v>67</v>
      </c>
      <c r="D7" s="89">
        <v>0.84850000000000003</v>
      </c>
      <c r="E7" s="85">
        <v>2026</v>
      </c>
      <c r="F7" s="88">
        <v>0.1736</v>
      </c>
      <c r="G7" s="83" t="s">
        <v>67</v>
      </c>
      <c r="H7" s="89">
        <v>0.34439999999999998</v>
      </c>
    </row>
    <row r="8" spans="1:9" ht="15.75" thickBot="1" x14ac:dyDescent="0.25">
      <c r="A8" s="81">
        <v>2027</v>
      </c>
      <c r="B8" s="88">
        <v>0.1515</v>
      </c>
      <c r="C8" s="83" t="s">
        <v>68</v>
      </c>
      <c r="D8" s="89">
        <v>1</v>
      </c>
      <c r="E8" s="85">
        <v>2027</v>
      </c>
      <c r="F8" s="88">
        <v>0.1764</v>
      </c>
      <c r="G8" s="83" t="s">
        <v>68</v>
      </c>
      <c r="H8" s="89">
        <v>0.52080000000000004</v>
      </c>
    </row>
    <row r="9" spans="1:9" ht="15.75" thickBot="1" x14ac:dyDescent="0.25">
      <c r="A9" s="81">
        <v>2028</v>
      </c>
      <c r="B9" s="82">
        <v>0</v>
      </c>
      <c r="C9" s="83" t="s">
        <v>69</v>
      </c>
      <c r="D9" s="84">
        <v>0</v>
      </c>
      <c r="E9" s="85">
        <v>2028</v>
      </c>
      <c r="F9" s="88">
        <v>0.1792</v>
      </c>
      <c r="G9" s="83" t="s">
        <v>69</v>
      </c>
      <c r="H9" s="89">
        <v>0.7</v>
      </c>
    </row>
    <row r="10" spans="1:9" ht="15.75" thickBot="1" x14ac:dyDescent="0.25">
      <c r="A10" s="81">
        <v>2029</v>
      </c>
      <c r="B10" s="82">
        <v>0</v>
      </c>
      <c r="C10" s="83" t="s">
        <v>70</v>
      </c>
      <c r="D10" s="84">
        <v>0</v>
      </c>
      <c r="E10" s="85">
        <v>2029</v>
      </c>
      <c r="F10" s="88">
        <v>0.3</v>
      </c>
      <c r="G10" s="83" t="s">
        <v>70</v>
      </c>
      <c r="H10" s="89">
        <v>1</v>
      </c>
    </row>
    <row r="11" spans="1:9" ht="15.75" thickBot="1" x14ac:dyDescent="0.25">
      <c r="A11" s="85"/>
      <c r="B11" s="82"/>
      <c r="C11" s="83"/>
      <c r="D11" s="84"/>
      <c r="E11" s="85"/>
      <c r="F11" s="88"/>
      <c r="G11" s="83"/>
      <c r="H11" s="93"/>
    </row>
    <row r="12" spans="1:9" ht="13.5" thickBot="1" x14ac:dyDescent="0.25">
      <c r="A12" s="157" t="s">
        <v>71</v>
      </c>
      <c r="B12" s="158"/>
      <c r="C12" s="158"/>
      <c r="D12" s="158"/>
      <c r="E12" s="158"/>
      <c r="F12" s="158"/>
      <c r="G12" s="158"/>
      <c r="H12" s="158"/>
      <c r="I12" s="94">
        <f>'Klíč silnice_final'!B31</f>
        <v>10166689736</v>
      </c>
    </row>
    <row r="13" spans="1:9" ht="60" x14ac:dyDescent="0.2">
      <c r="A13" s="95" t="s">
        <v>57</v>
      </c>
      <c r="B13" s="96" t="s">
        <v>77</v>
      </c>
      <c r="C13" s="96" t="s">
        <v>59</v>
      </c>
      <c r="D13" s="96" t="s">
        <v>78</v>
      </c>
      <c r="E13" s="96" t="s">
        <v>57</v>
      </c>
      <c r="F13" s="96" t="s">
        <v>72</v>
      </c>
      <c r="G13" s="96" t="s">
        <v>59</v>
      </c>
      <c r="H13" s="96" t="s">
        <v>73</v>
      </c>
    </row>
    <row r="14" spans="1:9" ht="15.75" thickBot="1" x14ac:dyDescent="0.25">
      <c r="A14" s="104">
        <v>2021</v>
      </c>
      <c r="B14" s="97">
        <v>0</v>
      </c>
      <c r="C14" s="98">
        <v>2021</v>
      </c>
      <c r="D14" s="105">
        <f>B14</f>
        <v>0</v>
      </c>
      <c r="E14" s="104">
        <v>2021</v>
      </c>
      <c r="F14" s="97">
        <v>0</v>
      </c>
      <c r="G14" s="92">
        <v>2021</v>
      </c>
      <c r="H14" s="99">
        <v>0</v>
      </c>
    </row>
    <row r="15" spans="1:9" ht="15.75" thickBot="1" x14ac:dyDescent="0.25">
      <c r="A15" s="104">
        <v>2022</v>
      </c>
      <c r="B15" s="100">
        <f>B3*$I$12</f>
        <v>1736470606.9088001</v>
      </c>
      <c r="C15" s="101" t="s">
        <v>63</v>
      </c>
      <c r="D15" s="107">
        <f>B15</f>
        <v>1736470606.9088001</v>
      </c>
      <c r="E15" s="104">
        <v>2022</v>
      </c>
      <c r="F15" s="97">
        <v>0</v>
      </c>
      <c r="G15" s="83" t="s">
        <v>63</v>
      </c>
      <c r="H15" s="99">
        <v>0</v>
      </c>
    </row>
    <row r="16" spans="1:9" ht="15.75" thickBot="1" x14ac:dyDescent="0.25">
      <c r="A16" s="104">
        <v>2023</v>
      </c>
      <c r="B16" s="100">
        <f t="shared" ref="B16:B22" si="0">B4*$I$12</f>
        <v>1764937338.1696</v>
      </c>
      <c r="C16" s="101" t="s">
        <v>64</v>
      </c>
      <c r="D16" s="107">
        <f>D15+B16</f>
        <v>3501407945.0784001</v>
      </c>
      <c r="E16" s="104">
        <v>2023</v>
      </c>
      <c r="F16" s="97">
        <v>0</v>
      </c>
      <c r="G16" s="83" t="s">
        <v>64</v>
      </c>
      <c r="H16" s="99">
        <v>0</v>
      </c>
    </row>
    <row r="17" spans="1:9" ht="15.75" thickBot="1" x14ac:dyDescent="0.25">
      <c r="A17" s="104">
        <v>2024</v>
      </c>
      <c r="B17" s="100">
        <f t="shared" si="0"/>
        <v>1793404069.4303999</v>
      </c>
      <c r="C17" s="101" t="s">
        <v>65</v>
      </c>
      <c r="D17" s="107">
        <f t="shared" ref="D17:D20" si="1">D16+B17</f>
        <v>5294812014.5088005</v>
      </c>
      <c r="E17" s="104">
        <v>2024</v>
      </c>
      <c r="F17" s="97">
        <v>0</v>
      </c>
      <c r="G17" s="83" t="s">
        <v>65</v>
      </c>
      <c r="H17" s="99">
        <v>0</v>
      </c>
    </row>
    <row r="18" spans="1:9" ht="15.75" thickBot="1" x14ac:dyDescent="0.25">
      <c r="A18" s="104">
        <v>2025</v>
      </c>
      <c r="B18" s="100">
        <f t="shared" si="0"/>
        <v>1821870800.6912</v>
      </c>
      <c r="C18" s="102" t="s">
        <v>66</v>
      </c>
      <c r="D18" s="107">
        <f t="shared" si="1"/>
        <v>7116682815.2000008</v>
      </c>
      <c r="E18" s="104">
        <v>2025</v>
      </c>
      <c r="F18" s="106">
        <f>F6*$I$12</f>
        <v>1736470606.9088001</v>
      </c>
      <c r="G18" s="90" t="s">
        <v>66</v>
      </c>
      <c r="H18" s="103">
        <f>F18</f>
        <v>1736470606.9088001</v>
      </c>
    </row>
    <row r="19" spans="1:9" ht="15.75" thickBot="1" x14ac:dyDescent="0.25">
      <c r="A19" s="104">
        <v>2026</v>
      </c>
      <c r="B19" s="100">
        <f t="shared" si="0"/>
        <v>1509753425.796</v>
      </c>
      <c r="C19" s="101" t="s">
        <v>67</v>
      </c>
      <c r="D19" s="107">
        <f t="shared" si="1"/>
        <v>8626436240.9960003</v>
      </c>
      <c r="E19" s="104">
        <v>2026</v>
      </c>
      <c r="F19" s="106">
        <f t="shared" ref="F19:F22" si="2">F7*$I$12</f>
        <v>1764937338.1696</v>
      </c>
      <c r="G19" s="83" t="s">
        <v>67</v>
      </c>
      <c r="H19" s="103">
        <f>F19+H18</f>
        <v>3501407945.0784001</v>
      </c>
    </row>
    <row r="20" spans="1:9" ht="15.75" thickBot="1" x14ac:dyDescent="0.25">
      <c r="A20" s="104">
        <v>2027</v>
      </c>
      <c r="B20" s="100">
        <f t="shared" si="0"/>
        <v>1540253495.0039999</v>
      </c>
      <c r="C20" s="101" t="s">
        <v>68</v>
      </c>
      <c r="D20" s="107">
        <f t="shared" si="1"/>
        <v>10166689736</v>
      </c>
      <c r="E20" s="104">
        <v>2027</v>
      </c>
      <c r="F20" s="106">
        <f t="shared" si="2"/>
        <v>1793404069.4303999</v>
      </c>
      <c r="G20" s="83" t="s">
        <v>68</v>
      </c>
      <c r="H20" s="103">
        <f>F20+H19</f>
        <v>5294812014.5088005</v>
      </c>
    </row>
    <row r="21" spans="1:9" ht="15.75" thickBot="1" x14ac:dyDescent="0.25">
      <c r="A21" s="104">
        <v>2028</v>
      </c>
      <c r="B21" s="100">
        <f t="shared" si="0"/>
        <v>0</v>
      </c>
      <c r="C21" s="101" t="s">
        <v>69</v>
      </c>
      <c r="D21" s="107"/>
      <c r="E21" s="104">
        <v>2028</v>
      </c>
      <c r="F21" s="106">
        <f t="shared" si="2"/>
        <v>1821870800.6912</v>
      </c>
      <c r="G21" s="83" t="s">
        <v>69</v>
      </c>
      <c r="H21" s="103">
        <f>F21+H20</f>
        <v>7116682815.2000008</v>
      </c>
    </row>
    <row r="22" spans="1:9" ht="15.75" thickBot="1" x14ac:dyDescent="0.25">
      <c r="A22" s="104">
        <v>2029</v>
      </c>
      <c r="B22" s="100">
        <f t="shared" si="0"/>
        <v>0</v>
      </c>
      <c r="C22" s="101" t="s">
        <v>70</v>
      </c>
      <c r="D22" s="107"/>
      <c r="E22" s="104">
        <v>2029</v>
      </c>
      <c r="F22" s="106">
        <f t="shared" si="2"/>
        <v>3050006920.7999997</v>
      </c>
      <c r="G22" s="83" t="s">
        <v>70</v>
      </c>
      <c r="H22" s="103">
        <f>F22+H21</f>
        <v>10166689736</v>
      </c>
    </row>
    <row r="24" spans="1:9" ht="13.5" thickBot="1" x14ac:dyDescent="0.25">
      <c r="A24" s="157" t="s">
        <v>74</v>
      </c>
      <c r="B24" s="158"/>
      <c r="C24" s="158"/>
      <c r="D24" s="158"/>
      <c r="E24" s="158"/>
      <c r="F24" s="158"/>
      <c r="G24" s="158"/>
      <c r="H24" s="158"/>
      <c r="I24" s="94">
        <f>'Klíč ZZS_final'!B31</f>
        <v>1866661075.6230769</v>
      </c>
    </row>
    <row r="25" spans="1:9" ht="60" x14ac:dyDescent="0.2">
      <c r="A25" s="95" t="s">
        <v>57</v>
      </c>
      <c r="B25" s="96" t="s">
        <v>77</v>
      </c>
      <c r="C25" s="96" t="s">
        <v>59</v>
      </c>
      <c r="D25" s="96" t="s">
        <v>78</v>
      </c>
      <c r="E25" s="96" t="s">
        <v>57</v>
      </c>
      <c r="F25" s="96" t="s">
        <v>72</v>
      </c>
      <c r="G25" s="96" t="s">
        <v>59</v>
      </c>
      <c r="H25" s="96" t="s">
        <v>73</v>
      </c>
    </row>
    <row r="26" spans="1:9" ht="15.75" thickBot="1" x14ac:dyDescent="0.25">
      <c r="A26" s="104">
        <v>2021</v>
      </c>
      <c r="B26" s="97">
        <v>0</v>
      </c>
      <c r="C26" s="98">
        <v>2021</v>
      </c>
      <c r="D26" s="105">
        <f>B26</f>
        <v>0</v>
      </c>
      <c r="E26" s="104">
        <v>2021</v>
      </c>
      <c r="F26" s="97">
        <v>0</v>
      </c>
      <c r="G26" s="92">
        <v>2021</v>
      </c>
      <c r="H26" s="99">
        <v>0</v>
      </c>
    </row>
    <row r="27" spans="1:9" ht="15.75" thickBot="1" x14ac:dyDescent="0.25">
      <c r="A27" s="104">
        <v>2022</v>
      </c>
      <c r="B27" s="100">
        <f>B3*$I$24</f>
        <v>318825711.71642154</v>
      </c>
      <c r="C27" s="101" t="s">
        <v>63</v>
      </c>
      <c r="D27" s="107">
        <f>B27</f>
        <v>318825711.71642154</v>
      </c>
      <c r="E27" s="104">
        <v>2022</v>
      </c>
      <c r="F27" s="97">
        <v>0</v>
      </c>
      <c r="G27" s="83" t="s">
        <v>63</v>
      </c>
      <c r="H27" s="99">
        <v>0</v>
      </c>
    </row>
    <row r="28" spans="1:9" ht="15.75" thickBot="1" x14ac:dyDescent="0.25">
      <c r="A28" s="104">
        <v>2023</v>
      </c>
      <c r="B28" s="100">
        <f t="shared" ref="B28:B32" si="3">B4*$I$24</f>
        <v>324052362.72816616</v>
      </c>
      <c r="C28" s="101" t="s">
        <v>64</v>
      </c>
      <c r="D28" s="107">
        <f>D27+B28</f>
        <v>642878074.44458771</v>
      </c>
      <c r="E28" s="104">
        <v>2023</v>
      </c>
      <c r="F28" s="97">
        <v>0</v>
      </c>
      <c r="G28" s="83" t="s">
        <v>64</v>
      </c>
      <c r="H28" s="99">
        <v>0</v>
      </c>
    </row>
    <row r="29" spans="1:9" ht="15.75" thickBot="1" x14ac:dyDescent="0.25">
      <c r="A29" s="104">
        <v>2024</v>
      </c>
      <c r="B29" s="100">
        <f t="shared" si="3"/>
        <v>329279013.73991078</v>
      </c>
      <c r="C29" s="101" t="s">
        <v>65</v>
      </c>
      <c r="D29" s="107">
        <f t="shared" ref="D29:D32" si="4">D28+B29</f>
        <v>972157088.18449855</v>
      </c>
      <c r="E29" s="104">
        <v>2024</v>
      </c>
      <c r="F29" s="97">
        <v>0</v>
      </c>
      <c r="G29" s="83" t="s">
        <v>65</v>
      </c>
      <c r="H29" s="99">
        <v>0</v>
      </c>
    </row>
    <row r="30" spans="1:9" ht="15.75" thickBot="1" x14ac:dyDescent="0.25">
      <c r="A30" s="104">
        <v>2025</v>
      </c>
      <c r="B30" s="100">
        <f t="shared" si="3"/>
        <v>334505664.7516554</v>
      </c>
      <c r="C30" s="102" t="s">
        <v>66</v>
      </c>
      <c r="D30" s="107">
        <f t="shared" si="4"/>
        <v>1306662752.9361539</v>
      </c>
      <c r="E30" s="104">
        <v>2025</v>
      </c>
      <c r="F30" s="106">
        <f>F6*$I$24</f>
        <v>318825711.71642154</v>
      </c>
      <c r="G30" s="90" t="s">
        <v>66</v>
      </c>
      <c r="H30" s="103">
        <f>F30</f>
        <v>318825711.71642154</v>
      </c>
    </row>
    <row r="31" spans="1:9" ht="15.75" thickBot="1" x14ac:dyDescent="0.25">
      <c r="A31" s="104">
        <v>2026</v>
      </c>
      <c r="B31" s="100">
        <f t="shared" si="3"/>
        <v>277199169.7300269</v>
      </c>
      <c r="C31" s="101" t="s">
        <v>67</v>
      </c>
      <c r="D31" s="107">
        <f t="shared" si="4"/>
        <v>1583861922.6661808</v>
      </c>
      <c r="E31" s="104">
        <v>2026</v>
      </c>
      <c r="F31" s="106">
        <f t="shared" ref="F31:F34" si="5">F7*$I$24</f>
        <v>324052362.72816616</v>
      </c>
      <c r="G31" s="83" t="s">
        <v>67</v>
      </c>
      <c r="H31" s="103">
        <f>F31+H30</f>
        <v>642878074.44458771</v>
      </c>
    </row>
    <row r="32" spans="1:9" ht="15.75" thickBot="1" x14ac:dyDescent="0.25">
      <c r="A32" s="104">
        <v>2027</v>
      </c>
      <c r="B32" s="100">
        <f t="shared" si="3"/>
        <v>282799152.95689613</v>
      </c>
      <c r="C32" s="101" t="s">
        <v>68</v>
      </c>
      <c r="D32" s="107">
        <f t="shared" si="4"/>
        <v>1866661075.6230769</v>
      </c>
      <c r="E32" s="104">
        <v>2027</v>
      </c>
      <c r="F32" s="106">
        <f t="shared" si="5"/>
        <v>329279013.73991078</v>
      </c>
      <c r="G32" s="83" t="s">
        <v>68</v>
      </c>
      <c r="H32" s="103">
        <f>F32+H31</f>
        <v>972157088.18449855</v>
      </c>
    </row>
    <row r="33" spans="1:9" ht="15.75" thickBot="1" x14ac:dyDescent="0.25">
      <c r="A33" s="104">
        <v>2028</v>
      </c>
      <c r="B33" s="100">
        <f t="shared" ref="B33:B34" si="6">B21*$I$12</f>
        <v>0</v>
      </c>
      <c r="C33" s="101" t="s">
        <v>69</v>
      </c>
      <c r="D33" s="107"/>
      <c r="E33" s="104">
        <v>2028</v>
      </c>
      <c r="F33" s="106">
        <f t="shared" si="5"/>
        <v>334505664.7516554</v>
      </c>
      <c r="G33" s="83" t="s">
        <v>69</v>
      </c>
      <c r="H33" s="103">
        <f>F33+H32</f>
        <v>1306662752.9361539</v>
      </c>
    </row>
    <row r="34" spans="1:9" ht="15.75" thickBot="1" x14ac:dyDescent="0.25">
      <c r="A34" s="104">
        <v>2029</v>
      </c>
      <c r="B34" s="100">
        <f t="shared" si="6"/>
        <v>0</v>
      </c>
      <c r="C34" s="101" t="s">
        <v>70</v>
      </c>
      <c r="D34" s="107"/>
      <c r="E34" s="104">
        <v>2029</v>
      </c>
      <c r="F34" s="106">
        <f t="shared" si="5"/>
        <v>559998322.68692303</v>
      </c>
      <c r="G34" s="83" t="s">
        <v>70</v>
      </c>
      <c r="H34" s="103">
        <f>F34+H33</f>
        <v>1866661075.6230769</v>
      </c>
    </row>
    <row r="36" spans="1:9" ht="13.5" thickBot="1" x14ac:dyDescent="0.25">
      <c r="A36" s="157" t="s">
        <v>75</v>
      </c>
      <c r="B36" s="158"/>
      <c r="C36" s="158"/>
      <c r="D36" s="158"/>
      <c r="E36" s="158"/>
      <c r="F36" s="158"/>
      <c r="G36" s="158"/>
      <c r="H36" s="158"/>
      <c r="I36" s="94">
        <f>'Klíč SŠ'!B31</f>
        <v>3097003940.6007886</v>
      </c>
    </row>
    <row r="37" spans="1:9" ht="60" x14ac:dyDescent="0.2">
      <c r="A37" s="95" t="s">
        <v>57</v>
      </c>
      <c r="B37" s="96" t="s">
        <v>77</v>
      </c>
      <c r="C37" s="96" t="s">
        <v>59</v>
      </c>
      <c r="D37" s="96" t="s">
        <v>78</v>
      </c>
      <c r="E37" s="96" t="s">
        <v>57</v>
      </c>
      <c r="F37" s="96" t="s">
        <v>72</v>
      </c>
      <c r="G37" s="96" t="s">
        <v>59</v>
      </c>
      <c r="H37" s="96" t="s">
        <v>73</v>
      </c>
    </row>
    <row r="38" spans="1:9" ht="15.75" thickBot="1" x14ac:dyDescent="0.25">
      <c r="A38" s="104">
        <v>2021</v>
      </c>
      <c r="B38" s="97">
        <v>0</v>
      </c>
      <c r="C38" s="98">
        <v>2021</v>
      </c>
      <c r="D38" s="105">
        <f>B38</f>
        <v>0</v>
      </c>
      <c r="E38" s="104">
        <v>2021</v>
      </c>
      <c r="F38" s="97">
        <v>0</v>
      </c>
      <c r="G38" s="92">
        <v>2021</v>
      </c>
      <c r="H38" s="99">
        <v>0</v>
      </c>
    </row>
    <row r="39" spans="1:9" ht="15.75" thickBot="1" x14ac:dyDescent="0.25">
      <c r="A39" s="104">
        <v>2022</v>
      </c>
      <c r="B39" s="100">
        <f>B3*$I$36</f>
        <v>528968273.05461472</v>
      </c>
      <c r="C39" s="101" t="s">
        <v>63</v>
      </c>
      <c r="D39" s="107">
        <f>B39</f>
        <v>528968273.05461472</v>
      </c>
      <c r="E39" s="104">
        <v>2022</v>
      </c>
      <c r="F39" s="97">
        <v>0</v>
      </c>
      <c r="G39" s="83" t="s">
        <v>63</v>
      </c>
      <c r="H39" s="99">
        <v>0</v>
      </c>
    </row>
    <row r="40" spans="1:9" ht="15.75" thickBot="1" x14ac:dyDescent="0.25">
      <c r="A40" s="104">
        <v>2023</v>
      </c>
      <c r="B40" s="100">
        <f t="shared" ref="B40:B44" si="7">B4*$I$36</f>
        <v>537639884.08829689</v>
      </c>
      <c r="C40" s="101" t="s">
        <v>64</v>
      </c>
      <c r="D40" s="107">
        <f>D39+B40</f>
        <v>1066608157.1429117</v>
      </c>
      <c r="E40" s="104">
        <v>2023</v>
      </c>
      <c r="F40" s="97">
        <v>0</v>
      </c>
      <c r="G40" s="83" t="s">
        <v>64</v>
      </c>
      <c r="H40" s="99">
        <v>0</v>
      </c>
    </row>
    <row r="41" spans="1:9" ht="15.75" thickBot="1" x14ac:dyDescent="0.25">
      <c r="A41" s="104">
        <v>2024</v>
      </c>
      <c r="B41" s="100">
        <f t="shared" si="7"/>
        <v>546311495.12197912</v>
      </c>
      <c r="C41" s="101" t="s">
        <v>65</v>
      </c>
      <c r="D41" s="107">
        <f t="shared" ref="D41:D44" si="8">D40+B41</f>
        <v>1612919652.2648907</v>
      </c>
      <c r="E41" s="104">
        <v>2024</v>
      </c>
      <c r="F41" s="97">
        <v>0</v>
      </c>
      <c r="G41" s="83" t="s">
        <v>65</v>
      </c>
      <c r="H41" s="99">
        <v>0</v>
      </c>
    </row>
    <row r="42" spans="1:9" ht="15.75" thickBot="1" x14ac:dyDescent="0.25">
      <c r="A42" s="104">
        <v>2025</v>
      </c>
      <c r="B42" s="100">
        <f t="shared" si="7"/>
        <v>554983106.15566134</v>
      </c>
      <c r="C42" s="102" t="s">
        <v>66</v>
      </c>
      <c r="D42" s="107">
        <f t="shared" si="8"/>
        <v>2167902758.4205523</v>
      </c>
      <c r="E42" s="104">
        <v>2025</v>
      </c>
      <c r="F42" s="106">
        <f>F6*$I$36</f>
        <v>528968273.05461472</v>
      </c>
      <c r="G42" s="90" t="s">
        <v>66</v>
      </c>
      <c r="H42" s="103">
        <f>F42</f>
        <v>528968273.05461472</v>
      </c>
    </row>
    <row r="43" spans="1:9" ht="15.75" thickBot="1" x14ac:dyDescent="0.25">
      <c r="A43" s="104">
        <v>2026</v>
      </c>
      <c r="B43" s="100">
        <f t="shared" si="7"/>
        <v>459905085.1792171</v>
      </c>
      <c r="C43" s="101" t="s">
        <v>67</v>
      </c>
      <c r="D43" s="107">
        <f t="shared" si="8"/>
        <v>2627807843.5997696</v>
      </c>
      <c r="E43" s="104">
        <v>2026</v>
      </c>
      <c r="F43" s="106">
        <f t="shared" ref="F43:F46" si="9">F7*$I$36</f>
        <v>537639884.08829689</v>
      </c>
      <c r="G43" s="83" t="s">
        <v>67</v>
      </c>
      <c r="H43" s="103">
        <f>F43+H42</f>
        <v>1066608157.1429117</v>
      </c>
    </row>
    <row r="44" spans="1:9" ht="15.75" thickBot="1" x14ac:dyDescent="0.25">
      <c r="A44" s="104">
        <v>2027</v>
      </c>
      <c r="B44" s="100">
        <f t="shared" si="7"/>
        <v>469196097.00101948</v>
      </c>
      <c r="C44" s="101" t="s">
        <v>68</v>
      </c>
      <c r="D44" s="107">
        <f t="shared" si="8"/>
        <v>3097003940.6007891</v>
      </c>
      <c r="E44" s="104">
        <v>2027</v>
      </c>
      <c r="F44" s="106">
        <f t="shared" si="9"/>
        <v>546311495.12197912</v>
      </c>
      <c r="G44" s="83" t="s">
        <v>68</v>
      </c>
      <c r="H44" s="103">
        <f>F44+H43</f>
        <v>1612919652.2648907</v>
      </c>
    </row>
    <row r="45" spans="1:9" ht="15.75" thickBot="1" x14ac:dyDescent="0.25">
      <c r="A45" s="104">
        <v>2028</v>
      </c>
      <c r="B45" s="100">
        <f t="shared" ref="B45:B46" si="10">B33*$I$12</f>
        <v>0</v>
      </c>
      <c r="C45" s="101" t="s">
        <v>69</v>
      </c>
      <c r="D45" s="107"/>
      <c r="E45" s="104">
        <v>2028</v>
      </c>
      <c r="F45" s="106">
        <f t="shared" si="9"/>
        <v>554983106.15566134</v>
      </c>
      <c r="G45" s="83" t="s">
        <v>69</v>
      </c>
      <c r="H45" s="103">
        <f>F45+H44</f>
        <v>2167902758.4205523</v>
      </c>
    </row>
    <row r="46" spans="1:9" ht="15.75" thickBot="1" x14ac:dyDescent="0.25">
      <c r="A46" s="104">
        <v>2029</v>
      </c>
      <c r="B46" s="100">
        <f t="shared" si="10"/>
        <v>0</v>
      </c>
      <c r="C46" s="101" t="s">
        <v>70</v>
      </c>
      <c r="D46" s="107"/>
      <c r="E46" s="104">
        <v>2029</v>
      </c>
      <c r="F46" s="106">
        <f t="shared" si="9"/>
        <v>929101182.18023658</v>
      </c>
      <c r="G46" s="83" t="s">
        <v>70</v>
      </c>
      <c r="H46" s="103">
        <f>F46+H45</f>
        <v>3097003940.6007891</v>
      </c>
    </row>
    <row r="48" spans="1:9" ht="13.5" thickBot="1" x14ac:dyDescent="0.25">
      <c r="A48" s="157" t="s">
        <v>76</v>
      </c>
      <c r="B48" s="158"/>
      <c r="C48" s="158"/>
      <c r="D48" s="158"/>
      <c r="E48" s="158"/>
      <c r="F48" s="158"/>
      <c r="G48" s="158"/>
      <c r="H48" s="158"/>
      <c r="I48" s="94">
        <v>2963274475</v>
      </c>
    </row>
    <row r="49" spans="1:9" ht="60" x14ac:dyDescent="0.2">
      <c r="A49" s="95" t="s">
        <v>57</v>
      </c>
      <c r="B49" s="96" t="s">
        <v>77</v>
      </c>
      <c r="C49" s="96" t="s">
        <v>59</v>
      </c>
      <c r="D49" s="96" t="s">
        <v>78</v>
      </c>
      <c r="E49" s="96" t="s">
        <v>57</v>
      </c>
      <c r="F49" s="96" t="s">
        <v>72</v>
      </c>
      <c r="G49" s="96" t="s">
        <v>59</v>
      </c>
      <c r="H49" s="96" t="s">
        <v>73</v>
      </c>
    </row>
    <row r="50" spans="1:9" ht="15.75" thickBot="1" x14ac:dyDescent="0.25">
      <c r="A50" s="104">
        <v>2021</v>
      </c>
      <c r="B50" s="97">
        <v>0</v>
      </c>
      <c r="C50" s="98">
        <v>2021</v>
      </c>
      <c r="D50" s="105">
        <f>B50</f>
        <v>0</v>
      </c>
      <c r="E50" s="104">
        <v>2021</v>
      </c>
      <c r="F50" s="97">
        <v>0</v>
      </c>
      <c r="G50" s="92">
        <v>2021</v>
      </c>
      <c r="H50" s="99">
        <v>0</v>
      </c>
    </row>
    <row r="51" spans="1:9" ht="15.75" thickBot="1" x14ac:dyDescent="0.25">
      <c r="A51" s="104">
        <v>2022</v>
      </c>
      <c r="B51" s="100">
        <f>B3*$I$48</f>
        <v>506127280.33000004</v>
      </c>
      <c r="C51" s="101" t="s">
        <v>63</v>
      </c>
      <c r="D51" s="107">
        <f>B51</f>
        <v>506127280.33000004</v>
      </c>
      <c r="E51" s="104">
        <v>2022</v>
      </c>
      <c r="F51" s="97">
        <v>0</v>
      </c>
      <c r="G51" s="83" t="s">
        <v>63</v>
      </c>
      <c r="H51" s="99">
        <v>0</v>
      </c>
    </row>
    <row r="52" spans="1:9" ht="15.75" thickBot="1" x14ac:dyDescent="0.25">
      <c r="A52" s="104">
        <v>2023</v>
      </c>
      <c r="B52" s="100">
        <f t="shared" ref="B52:B56" si="11">B4*$I$48</f>
        <v>514424448.86000001</v>
      </c>
      <c r="C52" s="101" t="s">
        <v>64</v>
      </c>
      <c r="D52" s="107">
        <f>D51+B52</f>
        <v>1020551729.1900001</v>
      </c>
      <c r="E52" s="104">
        <v>2023</v>
      </c>
      <c r="F52" s="97">
        <v>0</v>
      </c>
      <c r="G52" s="83" t="s">
        <v>64</v>
      </c>
      <c r="H52" s="99">
        <v>0</v>
      </c>
    </row>
    <row r="53" spans="1:9" ht="15.75" thickBot="1" x14ac:dyDescent="0.25">
      <c r="A53" s="104">
        <v>2024</v>
      </c>
      <c r="B53" s="100">
        <f t="shared" si="11"/>
        <v>522721617.38999999</v>
      </c>
      <c r="C53" s="101" t="s">
        <v>65</v>
      </c>
      <c r="D53" s="107">
        <f t="shared" ref="D53:D56" si="12">D52+B53</f>
        <v>1543273346.5799999</v>
      </c>
      <c r="E53" s="104">
        <v>2024</v>
      </c>
      <c r="F53" s="97">
        <v>0</v>
      </c>
      <c r="G53" s="83" t="s">
        <v>65</v>
      </c>
      <c r="H53" s="99">
        <v>0</v>
      </c>
    </row>
    <row r="54" spans="1:9" ht="15.75" thickBot="1" x14ac:dyDescent="0.25">
      <c r="A54" s="104">
        <v>2025</v>
      </c>
      <c r="B54" s="100">
        <f t="shared" si="11"/>
        <v>531018785.92000002</v>
      </c>
      <c r="C54" s="102" t="s">
        <v>66</v>
      </c>
      <c r="D54" s="107">
        <f t="shared" si="12"/>
        <v>2074292132.5</v>
      </c>
      <c r="E54" s="104">
        <v>2025</v>
      </c>
      <c r="F54" s="106">
        <f>F6*$I$48</f>
        <v>506127280.33000004</v>
      </c>
      <c r="G54" s="90" t="s">
        <v>66</v>
      </c>
      <c r="H54" s="103">
        <f>F54</f>
        <v>506127280.33000004</v>
      </c>
    </row>
    <row r="55" spans="1:9" ht="15.75" thickBot="1" x14ac:dyDescent="0.25">
      <c r="A55" s="104">
        <v>2026</v>
      </c>
      <c r="B55" s="100">
        <f t="shared" si="11"/>
        <v>440046259.53749996</v>
      </c>
      <c r="C55" s="101" t="s">
        <v>67</v>
      </c>
      <c r="D55" s="107">
        <f t="shared" si="12"/>
        <v>2514338392.0374999</v>
      </c>
      <c r="E55" s="104">
        <v>2026</v>
      </c>
      <c r="F55" s="106">
        <f t="shared" ref="F55:F58" si="13">F7*$I$48</f>
        <v>514424448.86000001</v>
      </c>
      <c r="G55" s="83" t="s">
        <v>67</v>
      </c>
      <c r="H55" s="103">
        <f>F55+H54</f>
        <v>1020551729.1900001</v>
      </c>
    </row>
    <row r="56" spans="1:9" ht="15.75" thickBot="1" x14ac:dyDescent="0.25">
      <c r="A56" s="104">
        <v>2027</v>
      </c>
      <c r="B56" s="100">
        <f t="shared" si="11"/>
        <v>448936082.96249998</v>
      </c>
      <c r="C56" s="101" t="s">
        <v>68</v>
      </c>
      <c r="D56" s="107">
        <f t="shared" si="12"/>
        <v>2963274475</v>
      </c>
      <c r="E56" s="104">
        <v>2027</v>
      </c>
      <c r="F56" s="106">
        <f t="shared" si="13"/>
        <v>522721617.38999999</v>
      </c>
      <c r="G56" s="83" t="s">
        <v>68</v>
      </c>
      <c r="H56" s="103">
        <f>F56+H55</f>
        <v>1543273346.5799999</v>
      </c>
    </row>
    <row r="57" spans="1:9" ht="15.75" thickBot="1" x14ac:dyDescent="0.25">
      <c r="A57" s="104">
        <v>2028</v>
      </c>
      <c r="B57" s="100">
        <f t="shared" ref="B57:B58" si="14">B45*$I$12</f>
        <v>0</v>
      </c>
      <c r="C57" s="101" t="s">
        <v>69</v>
      </c>
      <c r="D57" s="107"/>
      <c r="E57" s="104">
        <v>2028</v>
      </c>
      <c r="F57" s="106">
        <f t="shared" si="13"/>
        <v>531018785.92000002</v>
      </c>
      <c r="G57" s="83" t="s">
        <v>69</v>
      </c>
      <c r="H57" s="103">
        <f>F57+H56</f>
        <v>2074292132.5</v>
      </c>
    </row>
    <row r="58" spans="1:9" ht="15.75" thickBot="1" x14ac:dyDescent="0.25">
      <c r="A58" s="104">
        <v>2029</v>
      </c>
      <c r="B58" s="100">
        <f t="shared" si="14"/>
        <v>0</v>
      </c>
      <c r="C58" s="101" t="s">
        <v>70</v>
      </c>
      <c r="D58" s="107"/>
      <c r="E58" s="104">
        <v>2029</v>
      </c>
      <c r="F58" s="106">
        <f t="shared" si="13"/>
        <v>888982342.5</v>
      </c>
      <c r="G58" s="83" t="s">
        <v>70</v>
      </c>
      <c r="H58" s="103">
        <f>F58+H57</f>
        <v>2963274475</v>
      </c>
    </row>
    <row r="59" spans="1:9" x14ac:dyDescent="0.2">
      <c r="I59" s="108">
        <f>SUM(I48)+I36+I24+I12</f>
        <v>18093629227.223866</v>
      </c>
    </row>
    <row r="61" spans="1:9" x14ac:dyDescent="0.2">
      <c r="I61" s="108"/>
    </row>
  </sheetData>
  <mergeCells count="4">
    <mergeCell ref="A12:H12"/>
    <mergeCell ref="A24:H24"/>
    <mergeCell ref="A36:H36"/>
    <mergeCell ref="A48:H48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e529b29-b2bb-4f0f-bf76-47ede62a77b9" xsi:nil="true"/>
    <SharedWithUsers xmlns="a867a263-4c00-4944-a435-72febfd70997">
      <UserInfo>
        <DisplayName>Daněk Miroslav</DisplayName>
        <AccountId>180</AccountId>
        <AccountType/>
      </UserInfo>
      <UserInfo>
        <DisplayName>Pergl Ondřej</DisplayName>
        <AccountId>9</AccountId>
        <AccountType/>
      </UserInfo>
      <UserInfo>
        <DisplayName>Sokol Daniel</DisplayName>
        <AccountId>62</AccountId>
        <AccountType/>
      </UserInfo>
      <UserInfo>
        <DisplayName>Barcalová Jitka</DisplayName>
        <AccountId>15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C60E23A6042254D9AC27A8652D978CA" ma:contentTypeVersion="14" ma:contentTypeDescription="Vytvoří nový dokument" ma:contentTypeScope="" ma:versionID="5b301585167cc1e0a2aadb367de04ca5">
  <xsd:schema xmlns:xsd="http://www.w3.org/2001/XMLSchema" xmlns:xs="http://www.w3.org/2001/XMLSchema" xmlns:p="http://schemas.microsoft.com/office/2006/metadata/properties" xmlns:ns2="ae529b29-b2bb-4f0f-bf76-47ede62a77b9" xmlns:ns3="a867a263-4c00-4944-a435-72febfd70997" targetNamespace="http://schemas.microsoft.com/office/2006/metadata/properties" ma:root="true" ma:fieldsID="14085b2e47b5c8e6ebd080bd2078f460" ns2:_="" ns3:_="">
    <xsd:import namespace="ae529b29-b2bb-4f0f-bf76-47ede62a77b9"/>
    <xsd:import namespace="a867a263-4c00-4944-a435-72febfd709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29b29-b2bb-4f0f-bf76-47ede62a77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Stav odsouhlasení" ma:internalName="Stav_x0020_odsouhlasen_x00ed_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7a263-4c00-4944-a435-72febfd7099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9670F4-1F32-4201-A9A8-172A4A4211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0388B7-CC0C-4045-9D78-3FBDFFE5BA78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867a263-4c00-4944-a435-72febfd70997"/>
    <ds:schemaRef ds:uri="http://purl.org/dc/elements/1.1/"/>
    <ds:schemaRef ds:uri="http://schemas.microsoft.com/office/infopath/2007/PartnerControls"/>
    <ds:schemaRef ds:uri="ae529b29-b2bb-4f0f-bf76-47ede62a77b9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C889C28-DEB2-42B9-BCC6-C81DA57888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29b29-b2bb-4f0f-bf76-47ede62a77b9"/>
    <ds:schemaRef ds:uri="a867a263-4c00-4944-a435-72febfd709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milníky Olomoucký kraj</vt:lpstr>
      <vt:lpstr>Klíč silnice_final</vt:lpstr>
      <vt:lpstr>Klíč ZZS_final</vt:lpstr>
      <vt:lpstr>Klíč SŠ</vt:lpstr>
      <vt:lpstr>Klíč_DI</vt:lpstr>
      <vt:lpstr>milníky</vt:lpstr>
    </vt:vector>
  </TitlesOfParts>
  <Manager/>
  <Company>Ministerstvo pro místní rozvoj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Pergl Ondřej</dc:creator>
  <cp:keywords/>
  <dc:description/>
  <cp:lastModifiedBy>Tomková Monika</cp:lastModifiedBy>
  <cp:revision/>
  <cp:lastPrinted>2022-04-08T07:21:32Z</cp:lastPrinted>
  <dcterms:created xsi:type="dcterms:W3CDTF">2021-05-07T10:59:53Z</dcterms:created>
  <dcterms:modified xsi:type="dcterms:W3CDTF">2022-06-15T07:36:45Z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0x010100FC60E23A6042254D9AC27A8652D978CA</vt:lpwstr>
  </property>
</Properties>
</file>