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180" windowHeight="10875" activeTab="2"/>
  </bookViews>
  <sheets>
    <sheet name="rekapitulace" sheetId="7" r:id="rId1"/>
    <sheet name="8a. EIB - Evropské programy" sheetId="4" r:id="rId2"/>
    <sheet name="8b. KB 2011" sheetId="1" r:id="rId3"/>
    <sheet name="8c. SFDI 2011" sheetId="5" r:id="rId4"/>
    <sheet name="8d. OK 2011" sheetId="8" r:id="rId5"/>
    <sheet name="8e. povodně 2011" sheetId="9" r:id="rId6"/>
    <sheet name="f) dotace" sheetId="10" r:id="rId7"/>
  </sheets>
  <externalReferences>
    <externalReference r:id="rId8"/>
  </externalReferences>
  <definedNames>
    <definedName name="_xlnm._FilterDatabase" localSheetId="5" hidden="1">'8e. povodně 2011'!$A$8:$I$15</definedName>
    <definedName name="_xlnm.Print_Area" localSheetId="1">'8a. EIB - Evropské programy'!$A$1:$I$139</definedName>
    <definedName name="_xlnm.Print_Area" localSheetId="2">'8b. KB 2011'!$A$1:$F$114</definedName>
    <definedName name="_xlnm.Print_Area" localSheetId="3">'8c. SFDI 2011'!$A$1:$I$18</definedName>
    <definedName name="_xlnm.Print_Area" localSheetId="4">'8d. OK 2011'!$A$1:$E$495</definedName>
    <definedName name="_xlnm.Print_Area" localSheetId="5">'8e. povodně 2011'!$A$1:$F$25</definedName>
    <definedName name="_xlnm.Print_Area" localSheetId="6">'f) dotace'!$A$1:$E$25</definedName>
    <definedName name="_xlnm.Print_Area" localSheetId="0">rekapitulace!$A$1:$D$51</definedName>
  </definedNames>
  <calcPr calcId="145621"/>
</workbook>
</file>

<file path=xl/calcChain.xml><?xml version="1.0" encoding="utf-8"?>
<calcChain xmlns="http://schemas.openxmlformats.org/spreadsheetml/2006/main">
  <c r="E42" i="1" l="1"/>
  <c r="D42" i="1"/>
  <c r="C25" i="10" l="1"/>
  <c r="D25" i="10"/>
  <c r="E25" i="10" s="1"/>
  <c r="B25" i="10"/>
  <c r="E25" i="9"/>
  <c r="D25" i="9"/>
  <c r="B493" i="8"/>
  <c r="B422" i="8"/>
  <c r="B491" i="8" s="1"/>
  <c r="B26" i="7" s="1"/>
  <c r="C307" i="8"/>
  <c r="C489" i="8" s="1"/>
  <c r="C14" i="7" s="1"/>
  <c r="C114" i="1"/>
  <c r="B114" i="1"/>
  <c r="C113" i="1"/>
  <c r="D113" i="1"/>
  <c r="E113" i="1"/>
  <c r="B113" i="1"/>
  <c r="B27" i="7" s="1"/>
  <c r="C112" i="1"/>
  <c r="D112" i="1"/>
  <c r="C23" i="7" s="1"/>
  <c r="E112" i="1"/>
  <c r="D23" i="7" s="1"/>
  <c r="B112" i="1"/>
  <c r="C111" i="1"/>
  <c r="D111" i="1"/>
  <c r="E111" i="1"/>
  <c r="D15" i="7" s="1"/>
  <c r="B111" i="1"/>
  <c r="C110" i="1"/>
  <c r="B110" i="1"/>
  <c r="C109" i="1"/>
  <c r="D109" i="1"/>
  <c r="E109" i="1"/>
  <c r="B109" i="1"/>
  <c r="C106" i="1"/>
  <c r="D106" i="1"/>
  <c r="E106" i="1"/>
  <c r="F106" i="1" s="1"/>
  <c r="B106" i="1"/>
  <c r="C93" i="1"/>
  <c r="D93" i="1"/>
  <c r="E93" i="1"/>
  <c r="F93" i="1" s="1"/>
  <c r="B93" i="1"/>
  <c r="C78" i="1"/>
  <c r="D78" i="1"/>
  <c r="E78" i="1"/>
  <c r="B78" i="1"/>
  <c r="C58" i="1"/>
  <c r="D58" i="1"/>
  <c r="D110" i="1" s="1"/>
  <c r="B58" i="1"/>
  <c r="B36" i="1"/>
  <c r="G139" i="4"/>
  <c r="H139" i="4"/>
  <c r="F139" i="4"/>
  <c r="G138" i="4"/>
  <c r="H138" i="4"/>
  <c r="F138" i="4"/>
  <c r="B31" i="7" s="1"/>
  <c r="G137" i="4"/>
  <c r="C28" i="7" s="1"/>
  <c r="H137" i="4"/>
  <c r="D28" i="7" s="1"/>
  <c r="F137" i="4"/>
  <c r="G136" i="4"/>
  <c r="H136" i="4"/>
  <c r="F136" i="4"/>
  <c r="G135" i="4"/>
  <c r="C24" i="7" s="1"/>
  <c r="H135" i="4"/>
  <c r="I135" i="4" s="1"/>
  <c r="F135" i="4"/>
  <c r="G134" i="4"/>
  <c r="H134" i="4"/>
  <c r="F134" i="4"/>
  <c r="G133" i="4"/>
  <c r="C7" i="7" s="1"/>
  <c r="H133" i="4"/>
  <c r="F133" i="4"/>
  <c r="I86" i="4"/>
  <c r="G104" i="4"/>
  <c r="H104" i="4"/>
  <c r="F104" i="4"/>
  <c r="F60" i="4"/>
  <c r="G52" i="4"/>
  <c r="H52" i="4"/>
  <c r="F52" i="4"/>
  <c r="G28" i="4"/>
  <c r="H28" i="4"/>
  <c r="F28" i="4"/>
  <c r="C47" i="7"/>
  <c r="D47" i="7"/>
  <c r="C46" i="7"/>
  <c r="D46" i="7"/>
  <c r="B47" i="7"/>
  <c r="B46" i="7"/>
  <c r="E168" i="4"/>
  <c r="E170" i="4" s="1"/>
  <c r="E172" i="4" s="1"/>
  <c r="G143" i="4"/>
  <c r="H143" i="4"/>
  <c r="F143" i="4"/>
  <c r="G148" i="4"/>
  <c r="H148" i="4"/>
  <c r="F148" i="4"/>
  <c r="G149" i="4"/>
  <c r="H149" i="4"/>
  <c r="F149" i="4"/>
  <c r="H20" i="4"/>
  <c r="H144" i="4"/>
  <c r="E143" i="8"/>
  <c r="E141" i="8"/>
  <c r="E63" i="8"/>
  <c r="D198" i="8"/>
  <c r="B168" i="8"/>
  <c r="B224" i="8" s="1"/>
  <c r="B488" i="8" s="1"/>
  <c r="B10" i="7" s="1"/>
  <c r="D212" i="8"/>
  <c r="C212" i="8"/>
  <c r="E178" i="8"/>
  <c r="D176" i="8"/>
  <c r="E176" i="8" s="1"/>
  <c r="C176" i="8"/>
  <c r="C174" i="8"/>
  <c r="C173" i="8"/>
  <c r="E173" i="8"/>
  <c r="C171" i="8"/>
  <c r="C169" i="8"/>
  <c r="E157" i="4"/>
  <c r="E221" i="8"/>
  <c r="E170" i="8"/>
  <c r="E171" i="8"/>
  <c r="E172" i="8"/>
  <c r="E174" i="8"/>
  <c r="E175" i="8"/>
  <c r="E177" i="8"/>
  <c r="E180" i="8"/>
  <c r="E181" i="8"/>
  <c r="E182" i="8"/>
  <c r="E183" i="8"/>
  <c r="E184" i="8"/>
  <c r="E185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1" i="8"/>
  <c r="E202" i="8"/>
  <c r="E203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154" i="8"/>
  <c r="E155" i="8"/>
  <c r="E156" i="8"/>
  <c r="E157" i="8"/>
  <c r="E158" i="8"/>
  <c r="E159" i="8"/>
  <c r="E160" i="8"/>
  <c r="E161" i="8"/>
  <c r="E162" i="8"/>
  <c r="E163" i="8"/>
  <c r="E153" i="8"/>
  <c r="C316" i="8"/>
  <c r="D316" i="8"/>
  <c r="B316" i="8"/>
  <c r="B231" i="8"/>
  <c r="E280" i="8"/>
  <c r="E279" i="8"/>
  <c r="E278" i="8"/>
  <c r="E277" i="8"/>
  <c r="E276" i="8"/>
  <c r="E275" i="8"/>
  <c r="E274" i="8"/>
  <c r="E273" i="8"/>
  <c r="E272" i="8"/>
  <c r="E271" i="8"/>
  <c r="D471" i="8"/>
  <c r="C471" i="8"/>
  <c r="E471" i="8" s="1"/>
  <c r="C377" i="8"/>
  <c r="D377" i="8"/>
  <c r="B377" i="8"/>
  <c r="E419" i="8"/>
  <c r="E420" i="8"/>
  <c r="E417" i="8"/>
  <c r="E416" i="8"/>
  <c r="E415" i="8"/>
  <c r="E414" i="8"/>
  <c r="E413" i="8"/>
  <c r="E407" i="8"/>
  <c r="E406" i="8"/>
  <c r="E405" i="8"/>
  <c r="E404" i="8"/>
  <c r="E403" i="8"/>
  <c r="D412" i="8"/>
  <c r="C412" i="8"/>
  <c r="C411" i="8" s="1"/>
  <c r="C422" i="8" s="1"/>
  <c r="C491" i="8" s="1"/>
  <c r="C26" i="7" s="1"/>
  <c r="E443" i="8"/>
  <c r="E478" i="8"/>
  <c r="I280" i="8"/>
  <c r="H280" i="8"/>
  <c r="H89" i="8"/>
  <c r="I399" i="8"/>
  <c r="H399" i="8"/>
  <c r="E389" i="8"/>
  <c r="E390" i="8"/>
  <c r="E391" i="8"/>
  <c r="E394" i="8"/>
  <c r="E395" i="8"/>
  <c r="E396" i="8"/>
  <c r="E397" i="8"/>
  <c r="E398" i="8"/>
  <c r="E399" i="8"/>
  <c r="E388" i="8"/>
  <c r="I430" i="8"/>
  <c r="H430" i="8"/>
  <c r="E431" i="8"/>
  <c r="E430" i="8"/>
  <c r="E429" i="8"/>
  <c r="B428" i="8"/>
  <c r="B434" i="8" s="1"/>
  <c r="B492" i="8" s="1"/>
  <c r="B30" i="7" s="1"/>
  <c r="I443" i="8"/>
  <c r="H443" i="8"/>
  <c r="I317" i="8"/>
  <c r="H317" i="8"/>
  <c r="I89" i="8"/>
  <c r="I163" i="8"/>
  <c r="H163" i="8"/>
  <c r="B111" i="8"/>
  <c r="C7" i="8"/>
  <c r="D7" i="8"/>
  <c r="E7" i="8" s="1"/>
  <c r="B7" i="8"/>
  <c r="E81" i="8"/>
  <c r="E82" i="8"/>
  <c r="E83" i="8"/>
  <c r="E84" i="8"/>
  <c r="E85" i="8"/>
  <c r="E86" i="8"/>
  <c r="E87" i="8"/>
  <c r="E89" i="8"/>
  <c r="E88" i="8"/>
  <c r="E80" i="8"/>
  <c r="E79" i="8"/>
  <c r="E78" i="8"/>
  <c r="E77" i="8"/>
  <c r="E76" i="8"/>
  <c r="E75" i="8"/>
  <c r="E74" i="8"/>
  <c r="E149" i="8"/>
  <c r="D441" i="8"/>
  <c r="D446" i="8"/>
  <c r="D493" i="8" s="1"/>
  <c r="C441" i="8"/>
  <c r="C446" i="8"/>
  <c r="C493" i="8" s="1"/>
  <c r="C33" i="7" s="1"/>
  <c r="C32" i="7" s="1"/>
  <c r="B441" i="8"/>
  <c r="B446" i="8"/>
  <c r="B33" i="7"/>
  <c r="B32" i="7"/>
  <c r="D432" i="8"/>
  <c r="E432" i="8" s="1"/>
  <c r="D428" i="8"/>
  <c r="D434" i="8" s="1"/>
  <c r="C432" i="8"/>
  <c r="E321" i="8"/>
  <c r="E322" i="8"/>
  <c r="E258" i="8"/>
  <c r="E259" i="8"/>
  <c r="E248" i="8"/>
  <c r="E249" i="8"/>
  <c r="E252" i="8"/>
  <c r="E253" i="8"/>
  <c r="E254" i="8"/>
  <c r="E255" i="8"/>
  <c r="E256" i="8"/>
  <c r="E257" i="8"/>
  <c r="C93" i="8"/>
  <c r="C105" i="8" s="1"/>
  <c r="C487" i="8" s="1"/>
  <c r="B93" i="8"/>
  <c r="B105" i="8" s="1"/>
  <c r="B487" i="8" s="1"/>
  <c r="C15" i="7"/>
  <c r="D6" i="7"/>
  <c r="C6" i="7"/>
  <c r="D27" i="7"/>
  <c r="C27" i="7"/>
  <c r="C20" i="7"/>
  <c r="D20" i="7"/>
  <c r="B20" i="7"/>
  <c r="C8" i="7"/>
  <c r="D8" i="7"/>
  <c r="B8" i="7"/>
  <c r="D8" i="10"/>
  <c r="C8" i="10"/>
  <c r="E350" i="8"/>
  <c r="E351" i="8"/>
  <c r="E353" i="8"/>
  <c r="E355" i="8"/>
  <c r="E357" i="8"/>
  <c r="E364" i="8"/>
  <c r="E366" i="8"/>
  <c r="E367" i="8"/>
  <c r="E349" i="8"/>
  <c r="C358" i="8"/>
  <c r="E358" i="8"/>
  <c r="D356" i="8"/>
  <c r="E356" i="8" s="1"/>
  <c r="D354" i="8"/>
  <c r="C354" i="8"/>
  <c r="D365" i="8"/>
  <c r="E365" i="8" s="1"/>
  <c r="C365" i="8"/>
  <c r="D363" i="8"/>
  <c r="E363" i="8"/>
  <c r="D362" i="8"/>
  <c r="E362" i="8" s="1"/>
  <c r="C360" i="8"/>
  <c r="E360" i="8"/>
  <c r="D359" i="8"/>
  <c r="E359" i="8" s="1"/>
  <c r="C359" i="8"/>
  <c r="D361" i="8"/>
  <c r="E361" i="8"/>
  <c r="C352" i="8"/>
  <c r="E352" i="8" s="1"/>
  <c r="C455" i="8"/>
  <c r="E459" i="8"/>
  <c r="C18" i="7"/>
  <c r="D18" i="7"/>
  <c r="C19" i="7"/>
  <c r="D19" i="7"/>
  <c r="B19" i="7"/>
  <c r="B18" i="7"/>
  <c r="E460" i="8"/>
  <c r="E458" i="8"/>
  <c r="E17" i="10"/>
  <c r="D16" i="10"/>
  <c r="C16" i="10"/>
  <c r="B16" i="10"/>
  <c r="B468" i="8"/>
  <c r="C468" i="8"/>
  <c r="D469" i="8"/>
  <c r="D468" i="8"/>
  <c r="E468" i="8" s="1"/>
  <c r="C461" i="8"/>
  <c r="D477" i="8"/>
  <c r="C477" i="8"/>
  <c r="E477" i="8" s="1"/>
  <c r="B477" i="8"/>
  <c r="D476" i="8"/>
  <c r="E476" i="8"/>
  <c r="F22" i="9"/>
  <c r="E16" i="10"/>
  <c r="B402" i="8"/>
  <c r="E386" i="8"/>
  <c r="E385" i="8"/>
  <c r="E384" i="8"/>
  <c r="B348" i="8"/>
  <c r="B371" i="8" s="1"/>
  <c r="B490" i="8" s="1"/>
  <c r="B22" i="7" s="1"/>
  <c r="E326" i="8"/>
  <c r="E329" i="8"/>
  <c r="E332" i="8"/>
  <c r="E334" i="8"/>
  <c r="E335" i="8"/>
  <c r="E336" i="8"/>
  <c r="E342" i="8"/>
  <c r="E323" i="8"/>
  <c r="E320" i="8"/>
  <c r="E286" i="8"/>
  <c r="E288" i="8"/>
  <c r="E289" i="8"/>
  <c r="E290" i="8"/>
  <c r="E291" i="8"/>
  <c r="E292" i="8"/>
  <c r="E298" i="8"/>
  <c r="E299" i="8"/>
  <c r="E300" i="8"/>
  <c r="E301" i="8"/>
  <c r="E302" i="8"/>
  <c r="E262" i="8"/>
  <c r="E261" i="8"/>
  <c r="E260" i="8"/>
  <c r="C231" i="8"/>
  <c r="D231" i="8"/>
  <c r="E269" i="8"/>
  <c r="E268" i="8"/>
  <c r="E135" i="8"/>
  <c r="E133" i="8"/>
  <c r="E131" i="8"/>
  <c r="E130" i="8"/>
  <c r="E129" i="8"/>
  <c r="E123" i="8"/>
  <c r="E121" i="8"/>
  <c r="E120" i="8"/>
  <c r="E70" i="8"/>
  <c r="E64" i="8"/>
  <c r="E55" i="8"/>
  <c r="E57" i="8"/>
  <c r="E58" i="8"/>
  <c r="E59" i="8"/>
  <c r="E61" i="8"/>
  <c r="E49" i="8"/>
  <c r="E53" i="8"/>
  <c r="E23" i="8"/>
  <c r="E24" i="8"/>
  <c r="E26" i="8"/>
  <c r="E27" i="8"/>
  <c r="E28" i="8"/>
  <c r="E29" i="8"/>
  <c r="E30" i="8"/>
  <c r="E31" i="8"/>
  <c r="E34" i="8"/>
  <c r="E35" i="8"/>
  <c r="E69" i="8"/>
  <c r="E22" i="8"/>
  <c r="E21" i="8"/>
  <c r="E17" i="8"/>
  <c r="E16" i="8"/>
  <c r="E11" i="8"/>
  <c r="E8" i="10"/>
  <c r="D7" i="10"/>
  <c r="D11" i="10"/>
  <c r="D23" i="10"/>
  <c r="B7" i="10"/>
  <c r="B11" i="10"/>
  <c r="B23" i="10"/>
  <c r="E23" i="9"/>
  <c r="D23" i="9"/>
  <c r="C23" i="9"/>
  <c r="F21" i="9"/>
  <c r="E15" i="9"/>
  <c r="D15" i="9"/>
  <c r="C15" i="9"/>
  <c r="F14" i="9"/>
  <c r="F13" i="9"/>
  <c r="F9" i="9"/>
  <c r="D475" i="8"/>
  <c r="C475" i="8"/>
  <c r="B475" i="8"/>
  <c r="E474" i="8"/>
  <c r="E473" i="8"/>
  <c r="D472" i="8"/>
  <c r="E472" i="8" s="1"/>
  <c r="C472" i="8"/>
  <c r="B472" i="8"/>
  <c r="E469" i="8"/>
  <c r="E464" i="8"/>
  <c r="E463" i="8"/>
  <c r="E462" i="8"/>
  <c r="D461" i="8"/>
  <c r="E461" i="8" s="1"/>
  <c r="B461" i="8"/>
  <c r="E457" i="8"/>
  <c r="E456" i="8"/>
  <c r="D455" i="8"/>
  <c r="E455" i="8" s="1"/>
  <c r="B455" i="8"/>
  <c r="B480" i="8" s="1"/>
  <c r="B494" i="8" s="1"/>
  <c r="B35" i="7" s="1"/>
  <c r="B34" i="7" s="1"/>
  <c r="E454" i="8"/>
  <c r="E453" i="8"/>
  <c r="D452" i="8"/>
  <c r="E452" i="8" s="1"/>
  <c r="C452" i="8"/>
  <c r="C480" i="8" s="1"/>
  <c r="C494" i="8" s="1"/>
  <c r="C35" i="7" s="1"/>
  <c r="C34" i="7" s="1"/>
  <c r="B452" i="8"/>
  <c r="E418" i="8"/>
  <c r="D411" i="8"/>
  <c r="D422" i="8" s="1"/>
  <c r="B411" i="8"/>
  <c r="D402" i="8"/>
  <c r="C402" i="8"/>
  <c r="E402" i="8" s="1"/>
  <c r="E383" i="8"/>
  <c r="E382" i="8"/>
  <c r="E381" i="8"/>
  <c r="E380" i="8"/>
  <c r="E378" i="8"/>
  <c r="E368" i="8"/>
  <c r="E305" i="8"/>
  <c r="E304" i="8"/>
  <c r="E303" i="8"/>
  <c r="E297" i="8"/>
  <c r="E287" i="8"/>
  <c r="D285" i="8"/>
  <c r="D307" i="8" s="1"/>
  <c r="C285" i="8"/>
  <c r="B285" i="8"/>
  <c r="B307" i="8" s="1"/>
  <c r="B489" i="8" s="1"/>
  <c r="B14" i="7" s="1"/>
  <c r="E247" i="8"/>
  <c r="E245" i="8"/>
  <c r="E244" i="8"/>
  <c r="E243" i="8"/>
  <c r="E242" i="8"/>
  <c r="E241" i="8"/>
  <c r="E240" i="8"/>
  <c r="E237" i="8"/>
  <c r="E236" i="8"/>
  <c r="E235" i="8"/>
  <c r="E234" i="8"/>
  <c r="E233" i="8"/>
  <c r="E232" i="8"/>
  <c r="D168" i="8"/>
  <c r="D224" i="8" s="1"/>
  <c r="D488" i="8" s="1"/>
  <c r="E148" i="8"/>
  <c r="E147" i="8"/>
  <c r="E139" i="8"/>
  <c r="E137" i="8"/>
  <c r="E126" i="8"/>
  <c r="E112" i="8"/>
  <c r="D111" i="8"/>
  <c r="C111" i="8"/>
  <c r="D93" i="8"/>
  <c r="D105" i="8" s="1"/>
  <c r="E73" i="8"/>
  <c r="E72" i="8"/>
  <c r="E8" i="8"/>
  <c r="F31" i="1"/>
  <c r="F32" i="1"/>
  <c r="F33" i="1"/>
  <c r="F30" i="1"/>
  <c r="C17" i="7"/>
  <c r="D17" i="7"/>
  <c r="B17" i="7"/>
  <c r="D98" i="1"/>
  <c r="D66" i="1"/>
  <c r="B98" i="1"/>
  <c r="C98" i="1"/>
  <c r="E98" i="1"/>
  <c r="F98" i="1"/>
  <c r="F99" i="1"/>
  <c r="C8" i="1"/>
  <c r="D8" i="1"/>
  <c r="D36" i="1"/>
  <c r="E8" i="1"/>
  <c r="B8" i="1"/>
  <c r="C42" i="1"/>
  <c r="B42" i="1"/>
  <c r="D81" i="7"/>
  <c r="C81" i="7"/>
  <c r="B81" i="7"/>
  <c r="I80" i="7"/>
  <c r="H80" i="7"/>
  <c r="G80" i="7"/>
  <c r="D80" i="7"/>
  <c r="C80" i="7"/>
  <c r="B80" i="7"/>
  <c r="D79" i="7"/>
  <c r="C79" i="7"/>
  <c r="B79" i="7"/>
  <c r="I77" i="7"/>
  <c r="H77" i="7"/>
  <c r="G77" i="7"/>
  <c r="D77" i="7"/>
  <c r="C77" i="7"/>
  <c r="B77" i="7"/>
  <c r="D76" i="7"/>
  <c r="C76" i="7"/>
  <c r="B76" i="7"/>
  <c r="I75" i="7"/>
  <c r="H75" i="7"/>
  <c r="G75" i="7"/>
  <c r="D75" i="7"/>
  <c r="C75" i="7"/>
  <c r="B75" i="7"/>
  <c r="I74" i="7"/>
  <c r="H74" i="7"/>
  <c r="G74" i="7"/>
  <c r="D74" i="7"/>
  <c r="C74" i="7"/>
  <c r="B74" i="7"/>
  <c r="I73" i="7"/>
  <c r="H73" i="7"/>
  <c r="H72" i="7"/>
  <c r="G73" i="7"/>
  <c r="D73" i="7"/>
  <c r="D72" i="7"/>
  <c r="D84" i="7"/>
  <c r="C73" i="7"/>
  <c r="B73" i="7"/>
  <c r="B72" i="7"/>
  <c r="I72" i="7"/>
  <c r="G72" i="7"/>
  <c r="C72" i="7"/>
  <c r="D71" i="7"/>
  <c r="C71" i="7"/>
  <c r="B71" i="7"/>
  <c r="I70" i="7"/>
  <c r="H70" i="7"/>
  <c r="G70" i="7"/>
  <c r="D70" i="7"/>
  <c r="C70" i="7"/>
  <c r="B70" i="7"/>
  <c r="I69" i="7"/>
  <c r="H69" i="7"/>
  <c r="G69" i="7"/>
  <c r="D69" i="7"/>
  <c r="C69" i="7"/>
  <c r="B69" i="7"/>
  <c r="I68" i="7"/>
  <c r="H68" i="7"/>
  <c r="G68" i="7"/>
  <c r="D68" i="7"/>
  <c r="C68" i="7"/>
  <c r="B68" i="7"/>
  <c r="D67" i="7"/>
  <c r="C67" i="7"/>
  <c r="B67" i="7"/>
  <c r="I66" i="7"/>
  <c r="H66" i="7"/>
  <c r="G66" i="7"/>
  <c r="D66" i="7"/>
  <c r="C66" i="7"/>
  <c r="B66" i="7"/>
  <c r="D65" i="7"/>
  <c r="C65" i="7"/>
  <c r="B65" i="7"/>
  <c r="I64" i="7"/>
  <c r="H64" i="7"/>
  <c r="H63" i="7"/>
  <c r="G64" i="7"/>
  <c r="D64" i="7"/>
  <c r="C64" i="7"/>
  <c r="B64" i="7"/>
  <c r="B63" i="7"/>
  <c r="B84" i="7"/>
  <c r="D63" i="7"/>
  <c r="D62" i="7"/>
  <c r="C62" i="7"/>
  <c r="B62" i="7"/>
  <c r="I61" i="7"/>
  <c r="H61" i="7"/>
  <c r="G61" i="7"/>
  <c r="D61" i="7"/>
  <c r="C61" i="7"/>
  <c r="B61" i="7"/>
  <c r="I60" i="7"/>
  <c r="H60" i="7"/>
  <c r="G60" i="7"/>
  <c r="D60" i="7"/>
  <c r="C60" i="7"/>
  <c r="B60" i="7"/>
  <c r="I59" i="7"/>
  <c r="H59" i="7"/>
  <c r="G59" i="7"/>
  <c r="D59" i="7"/>
  <c r="C59" i="7"/>
  <c r="B59" i="7"/>
  <c r="I58" i="7"/>
  <c r="H58" i="7"/>
  <c r="G58" i="7"/>
  <c r="D58" i="7"/>
  <c r="C58" i="7"/>
  <c r="B58" i="7"/>
  <c r="D57" i="7"/>
  <c r="C57" i="7"/>
  <c r="B57" i="7"/>
  <c r="I56" i="7"/>
  <c r="H56" i="7"/>
  <c r="G56" i="7"/>
  <c r="D56" i="7"/>
  <c r="C56" i="7"/>
  <c r="C55" i="7"/>
  <c r="B56" i="7"/>
  <c r="D55" i="7"/>
  <c r="B55" i="7"/>
  <c r="H124" i="4"/>
  <c r="H127" i="4"/>
  <c r="G124" i="4"/>
  <c r="G127" i="4"/>
  <c r="C31" i="7"/>
  <c r="F124" i="4"/>
  <c r="F127" i="4"/>
  <c r="I112" i="4"/>
  <c r="I111" i="4"/>
  <c r="H109" i="4"/>
  <c r="G109" i="4"/>
  <c r="F109" i="4"/>
  <c r="I117" i="4"/>
  <c r="H116" i="4"/>
  <c r="H146" i="4"/>
  <c r="G116" i="4"/>
  <c r="G146" i="4"/>
  <c r="F116" i="4"/>
  <c r="F146" i="4"/>
  <c r="I58" i="4"/>
  <c r="H57" i="4"/>
  <c r="H60" i="4"/>
  <c r="G57" i="4"/>
  <c r="G60" i="4"/>
  <c r="F57" i="4"/>
  <c r="B24" i="7"/>
  <c r="I50" i="4"/>
  <c r="H49" i="4"/>
  <c r="H145" i="4"/>
  <c r="G49" i="4"/>
  <c r="G145" i="4"/>
  <c r="F49" i="4"/>
  <c r="F145" i="4"/>
  <c r="G20" i="4"/>
  <c r="G144" i="4"/>
  <c r="F20" i="4"/>
  <c r="F144" i="4"/>
  <c r="I22" i="4"/>
  <c r="I23" i="4"/>
  <c r="I24" i="4"/>
  <c r="I25" i="4"/>
  <c r="I26" i="4"/>
  <c r="I21" i="4"/>
  <c r="I16" i="4"/>
  <c r="I15" i="4"/>
  <c r="I11" i="4"/>
  <c r="G7" i="4"/>
  <c r="H7" i="4"/>
  <c r="F7" i="4"/>
  <c r="B7" i="7"/>
  <c r="G65" i="4"/>
  <c r="H65" i="4"/>
  <c r="F65" i="4"/>
  <c r="G33" i="4"/>
  <c r="H33" i="4"/>
  <c r="F33" i="4"/>
  <c r="B122" i="1"/>
  <c r="B125" i="1"/>
  <c r="E126" i="1"/>
  <c r="I77" i="4"/>
  <c r="I78" i="4"/>
  <c r="I79" i="4"/>
  <c r="I80" i="4"/>
  <c r="I82" i="4"/>
  <c r="I94" i="4"/>
  <c r="I95" i="4"/>
  <c r="I96" i="4"/>
  <c r="I97" i="4"/>
  <c r="I98" i="4"/>
  <c r="I99" i="4"/>
  <c r="I100" i="4"/>
  <c r="I101" i="4"/>
  <c r="I102" i="4"/>
  <c r="I37" i="4"/>
  <c r="I38" i="4"/>
  <c r="I39" i="4"/>
  <c r="I40" i="4"/>
  <c r="I41" i="4"/>
  <c r="I42" i="4"/>
  <c r="I43" i="4"/>
  <c r="I44" i="4"/>
  <c r="H7" i="5"/>
  <c r="G7" i="5"/>
  <c r="F7" i="5"/>
  <c r="F68" i="1"/>
  <c r="F69" i="1"/>
  <c r="F70" i="1"/>
  <c r="F71" i="1"/>
  <c r="F72" i="1"/>
  <c r="F73" i="1"/>
  <c r="F74" i="1"/>
  <c r="F75" i="1"/>
  <c r="F47" i="1"/>
  <c r="F48" i="1"/>
  <c r="F49" i="1"/>
  <c r="F50" i="1"/>
  <c r="F51" i="1"/>
  <c r="F52" i="1"/>
  <c r="D83" i="1"/>
  <c r="F85" i="1"/>
  <c r="F86" i="1"/>
  <c r="F87" i="1"/>
  <c r="F88" i="1"/>
  <c r="F89" i="1"/>
  <c r="F90" i="1"/>
  <c r="G14" i="5"/>
  <c r="G15" i="5"/>
  <c r="F14" i="5"/>
  <c r="H14" i="5"/>
  <c r="I14" i="5"/>
  <c r="G9" i="5"/>
  <c r="F9" i="5"/>
  <c r="H9" i="5"/>
  <c r="I7" i="5"/>
  <c r="I8" i="5"/>
  <c r="I9" i="5"/>
  <c r="F15" i="5"/>
  <c r="H15" i="5"/>
  <c r="I15" i="5"/>
  <c r="F86" i="4"/>
  <c r="F147" i="4"/>
  <c r="I14" i="4"/>
  <c r="I13" i="4"/>
  <c r="I12" i="4"/>
  <c r="I74" i="4"/>
  <c r="I75" i="4"/>
  <c r="I76" i="4"/>
  <c r="H86" i="4"/>
  <c r="I89" i="4"/>
  <c r="I90" i="4"/>
  <c r="I91" i="4"/>
  <c r="I92" i="4"/>
  <c r="I93" i="4"/>
  <c r="I35" i="4"/>
  <c r="I36" i="4"/>
  <c r="I8" i="4"/>
  <c r="I9" i="4"/>
  <c r="I10" i="4"/>
  <c r="I34" i="4"/>
  <c r="I71" i="4"/>
  <c r="I70" i="4"/>
  <c r="I66" i="4"/>
  <c r="I67" i="4"/>
  <c r="I68" i="4"/>
  <c r="I69" i="4"/>
  <c r="E66" i="1"/>
  <c r="E83" i="1"/>
  <c r="C83" i="1"/>
  <c r="B83" i="1"/>
  <c r="B23" i="7"/>
  <c r="B6" i="7"/>
  <c r="C66" i="1"/>
  <c r="B66" i="1"/>
  <c r="B15" i="7"/>
  <c r="F45" i="1"/>
  <c r="F100" i="1"/>
  <c r="F101" i="1"/>
  <c r="F102" i="1"/>
  <c r="F103" i="1"/>
  <c r="F104" i="1"/>
  <c r="F67" i="1"/>
  <c r="F76" i="1"/>
  <c r="F46" i="1"/>
  <c r="F53" i="1"/>
  <c r="F54" i="1"/>
  <c r="F55" i="1"/>
  <c r="F56" i="1"/>
  <c r="F84" i="1"/>
  <c r="F91" i="1"/>
  <c r="F43" i="1"/>
  <c r="F44" i="1"/>
  <c r="F22" i="1"/>
  <c r="F23" i="1"/>
  <c r="F24" i="1"/>
  <c r="F26" i="1"/>
  <c r="F27" i="1"/>
  <c r="F28" i="1"/>
  <c r="F29" i="1"/>
  <c r="F34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G86" i="4"/>
  <c r="G147" i="4"/>
  <c r="I7" i="4"/>
  <c r="F83" i="1"/>
  <c r="F8" i="1"/>
  <c r="C168" i="8"/>
  <c r="C224" i="8" s="1"/>
  <c r="C488" i="8" s="1"/>
  <c r="C10" i="7" s="1"/>
  <c r="C7" i="10"/>
  <c r="C11" i="10"/>
  <c r="F78" i="1"/>
  <c r="F66" i="1"/>
  <c r="E36" i="1"/>
  <c r="F36" i="1"/>
  <c r="C36" i="1"/>
  <c r="D24" i="7"/>
  <c r="I65" i="4"/>
  <c r="I124" i="4"/>
  <c r="H119" i="4"/>
  <c r="G119" i="4"/>
  <c r="I109" i="4"/>
  <c r="I116" i="4"/>
  <c r="I33" i="4"/>
  <c r="I60" i="4"/>
  <c r="I57" i="4"/>
  <c r="I49" i="4"/>
  <c r="I20" i="4"/>
  <c r="F111" i="1"/>
  <c r="F109" i="1"/>
  <c r="F113" i="1"/>
  <c r="E7" i="10"/>
  <c r="I119" i="4"/>
  <c r="B11" i="7"/>
  <c r="E93" i="8"/>
  <c r="E285" i="8"/>
  <c r="E377" i="8"/>
  <c r="E475" i="8"/>
  <c r="E169" i="8"/>
  <c r="E316" i="8"/>
  <c r="E231" i="8"/>
  <c r="F23" i="9"/>
  <c r="C25" i="9"/>
  <c r="F25" i="9"/>
  <c r="F15" i="9"/>
  <c r="I63" i="7"/>
  <c r="H55" i="7"/>
  <c r="C63" i="7"/>
  <c r="G63" i="7"/>
  <c r="G55" i="7"/>
  <c r="I55" i="7"/>
  <c r="I84" i="7"/>
  <c r="E11" i="10"/>
  <c r="C23" i="10"/>
  <c r="B19" i="10"/>
  <c r="B24" i="10"/>
  <c r="C19" i="10"/>
  <c r="C24" i="10"/>
  <c r="D19" i="10"/>
  <c r="D24" i="10"/>
  <c r="E19" i="10"/>
  <c r="E24" i="10"/>
  <c r="C84" i="7"/>
  <c r="G84" i="7"/>
  <c r="E23" i="10"/>
  <c r="E354" i="8"/>
  <c r="C428" i="8"/>
  <c r="C434" i="8" s="1"/>
  <c r="C492" i="8" s="1"/>
  <c r="C30" i="7" s="1"/>
  <c r="H84" i="7"/>
  <c r="E111" i="8"/>
  <c r="I133" i="4"/>
  <c r="F119" i="4"/>
  <c r="B28" i="7"/>
  <c r="I52" i="4"/>
  <c r="I28" i="4"/>
  <c r="F142" i="4"/>
  <c r="G142" i="4"/>
  <c r="I127" i="4"/>
  <c r="H147" i="4"/>
  <c r="H142" i="4"/>
  <c r="E160" i="4"/>
  <c r="E161" i="4" s="1"/>
  <c r="E162" i="4" s="1"/>
  <c r="B16" i="7"/>
  <c r="C16" i="7"/>
  <c r="B12" i="7"/>
  <c r="D7" i="7"/>
  <c r="E428" i="8"/>
  <c r="D31" i="7"/>
  <c r="I138" i="4"/>
  <c r="D12" i="7"/>
  <c r="C11" i="7" l="1"/>
  <c r="D114" i="1"/>
  <c r="D489" i="8"/>
  <c r="D14" i="7" s="1"/>
  <c r="E307" i="8"/>
  <c r="E434" i="8"/>
  <c r="D492" i="8"/>
  <c r="D33" i="7"/>
  <c r="D32" i="7" s="1"/>
  <c r="E493" i="8"/>
  <c r="E105" i="8"/>
  <c r="D487" i="8"/>
  <c r="E422" i="8"/>
  <c r="D491" i="8"/>
  <c r="B5" i="7"/>
  <c r="B43" i="7" s="1"/>
  <c r="B495" i="8"/>
  <c r="C5" i="7"/>
  <c r="C348" i="8"/>
  <c r="C371" i="8" s="1"/>
  <c r="C490" i="8" s="1"/>
  <c r="C495" i="8" s="1"/>
  <c r="D480" i="8"/>
  <c r="E412" i="8"/>
  <c r="E168" i="8"/>
  <c r="D348" i="8"/>
  <c r="E411" i="8"/>
  <c r="B13" i="7"/>
  <c r="E58" i="1"/>
  <c r="F42" i="1"/>
  <c r="C29" i="7"/>
  <c r="B29" i="7"/>
  <c r="C13" i="7"/>
  <c r="E489" i="8"/>
  <c r="D10" i="7"/>
  <c r="E488" i="8"/>
  <c r="E224" i="8"/>
  <c r="C4" i="7"/>
  <c r="C25" i="7"/>
  <c r="B25" i="7"/>
  <c r="F112" i="1"/>
  <c r="B21" i="7"/>
  <c r="C44" i="7"/>
  <c r="B44" i="7"/>
  <c r="B9" i="7"/>
  <c r="B45" i="7"/>
  <c r="I137" i="4"/>
  <c r="C12" i="7"/>
  <c r="C9" i="7" s="1"/>
  <c r="D16" i="7"/>
  <c r="D13" i="7" s="1"/>
  <c r="I136" i="4"/>
  <c r="I104" i="4"/>
  <c r="I134" i="4"/>
  <c r="C45" i="7"/>
  <c r="B4" i="7" l="1"/>
  <c r="C22" i="7"/>
  <c r="C21" i="7" s="1"/>
  <c r="C36" i="7" s="1"/>
  <c r="E480" i="8"/>
  <c r="D494" i="8"/>
  <c r="D5" i="7"/>
  <c r="D4" i="7" s="1"/>
  <c r="E487" i="8"/>
  <c r="E492" i="8"/>
  <c r="D30" i="7"/>
  <c r="D29" i="7" s="1"/>
  <c r="D371" i="8"/>
  <c r="E348" i="8"/>
  <c r="D26" i="7"/>
  <c r="D25" i="7" s="1"/>
  <c r="E491" i="8"/>
  <c r="C43" i="7"/>
  <c r="C48" i="7" s="1"/>
  <c r="F58" i="1"/>
  <c r="E110" i="1"/>
  <c r="B48" i="7"/>
  <c r="B36" i="7"/>
  <c r="D45" i="7"/>
  <c r="I139" i="4"/>
  <c r="E371" i="8" l="1"/>
  <c r="D490" i="8"/>
  <c r="D35" i="7"/>
  <c r="D34" i="7" s="1"/>
  <c r="E494" i="8"/>
  <c r="D11" i="7"/>
  <c r="E114" i="1"/>
  <c r="F114" i="1" s="1"/>
  <c r="F110" i="1"/>
  <c r="D22" i="7" l="1"/>
  <c r="E490" i="8"/>
  <c r="D495" i="8"/>
  <c r="E495" i="8" s="1"/>
  <c r="D44" i="7"/>
  <c r="D9" i="7"/>
  <c r="D36" i="7" l="1"/>
  <c r="D21" i="7"/>
  <c r="D43" i="7"/>
  <c r="D48" i="7"/>
</calcChain>
</file>

<file path=xl/comments1.xml><?xml version="1.0" encoding="utf-8"?>
<comments xmlns="http://schemas.openxmlformats.org/spreadsheetml/2006/main">
  <authors>
    <author>Kypusová Marta</author>
  </authors>
  <commentList>
    <comment ref="E164" authorId="0">
      <text>
        <r>
          <rPr>
            <b/>
            <sz val="10"/>
            <color indexed="81"/>
            <rFont val="Tahoma"/>
            <family val="2"/>
            <charset val="238"/>
          </rPr>
          <t>Kypusová Marta:</t>
        </r>
        <r>
          <rPr>
            <sz val="10"/>
            <color indexed="81"/>
            <rFont val="Tahoma"/>
            <family val="2"/>
            <charset val="238"/>
          </rPr>
          <t xml:space="preserve">
zůstatek 311 228 778,69 Kč, odečteno 1000 Kč jako mylná platba</t>
        </r>
      </text>
    </comment>
  </commentList>
</comments>
</file>

<file path=xl/sharedStrings.xml><?xml version="1.0" encoding="utf-8"?>
<sst xmlns="http://schemas.openxmlformats.org/spreadsheetml/2006/main" count="1220" uniqueCount="694">
  <si>
    <t>schválený rozpočet</t>
  </si>
  <si>
    <t>upravený rozpočet</t>
  </si>
  <si>
    <t>Střední zdravotnická škola a Vyšší odborná škola zdravotnická Emanuela Pöttinga, Olomouc, Pöttingova 2 - Rekonstrukce osvětlení a elektroinstalace</t>
  </si>
  <si>
    <t xml:space="preserve">Ostružná - obchvat, 1. etapa a 2. etapa </t>
  </si>
  <si>
    <t>Prostějov - přeložka silnice</t>
  </si>
  <si>
    <t>Přerov - úprava křižovatky silnic</t>
  </si>
  <si>
    <t>Bělkovice - Lašťany -obchvat</t>
  </si>
  <si>
    <t>ORG</t>
  </si>
  <si>
    <t>PO v soc. oblasti - Zavedení digitalizace TV</t>
  </si>
  <si>
    <t>Odborný léčebný ústav neurologicko-geriatrický Moravský Beroun, přísp. org. - Termofasáda pavilonu 2</t>
  </si>
  <si>
    <t xml:space="preserve">Odborný léčebný ústav neurologicko-geriatrický Moravský Beroun, přísp. org. - Rekonstrukce komunikace a odpočinkové plochy za pavilonem 1 </t>
  </si>
  <si>
    <t>Vlastivědné muzeum Jesenicka - Inženýrské sítě a fasáda</t>
  </si>
  <si>
    <t>Celkem</t>
  </si>
  <si>
    <t>skutečnost</t>
  </si>
  <si>
    <t>název akce</t>
  </si>
  <si>
    <t xml:space="preserve"> %</t>
  </si>
  <si>
    <t>oblast školství</t>
  </si>
  <si>
    <t>oblast kultury</t>
  </si>
  <si>
    <t>oblast sociální</t>
  </si>
  <si>
    <t>oblast zdravotnictví</t>
  </si>
  <si>
    <t>oblast dopravy</t>
  </si>
  <si>
    <t>Rekapitulace:</t>
  </si>
  <si>
    <t xml:space="preserve"> - oblast dopravy</t>
  </si>
  <si>
    <t xml:space="preserve"> - oblast zdravotnictví</t>
  </si>
  <si>
    <t xml:space="preserve"> - oblast sociální</t>
  </si>
  <si>
    <t xml:space="preserve"> - oblast školství</t>
  </si>
  <si>
    <t xml:space="preserve"> - oblast kultury</t>
  </si>
  <si>
    <t>v Kč</t>
  </si>
  <si>
    <t>ORG 60004</t>
  </si>
  <si>
    <t xml:space="preserve"> - Sušice - přeložka silnice</t>
  </si>
  <si>
    <t xml:space="preserve"> - Velký Týnec - průtah, II. Etapa</t>
  </si>
  <si>
    <t xml:space="preserve"> - III/44311 Dolany - průtah, most</t>
  </si>
  <si>
    <t xml:space="preserve"> - III/44620 Náklo - průtah</t>
  </si>
  <si>
    <t xml:space="preserve"> - III/44930 Čelechovice na Hané - průtah</t>
  </si>
  <si>
    <t xml:space="preserve"> - II. a III. třídy Protihluková opatření</t>
  </si>
  <si>
    <t>ORG 6005</t>
  </si>
  <si>
    <t xml:space="preserve"> - OLÚ Paseka - Centrální jídelna a rozšíření prádelny</t>
  </si>
  <si>
    <t xml:space="preserve"> - ZZS OK – vozové terminály </t>
  </si>
  <si>
    <t xml:space="preserve"> - ZZS OK – přístrojové vybavení vozidel </t>
  </si>
  <si>
    <t>ORG 6002</t>
  </si>
  <si>
    <t xml:space="preserve"> - DD Šumperk - rekonstrukce koupelen klientů </t>
  </si>
  <si>
    <t xml:space="preserve"> - Domov důchodců a penzion Chválkovice - Šatny zaměstnanců</t>
  </si>
  <si>
    <t xml:space="preserve"> - Domov důchodců Hrubá Voda - Soc. zařízení a soc. zázemí v hl. budově</t>
  </si>
  <si>
    <t xml:space="preserve"> - Domov důchodců Hrubá Voda - Vybudování prádelny</t>
  </si>
  <si>
    <t xml:space="preserve"> - Nové Zámky - poskytovatel sociálních služeb - Rekonstr. objektu Litovel</t>
  </si>
  <si>
    <t xml:space="preserve"> - Středisko sociální prevence Olomouc – Intervenční centrum Olomouc</t>
  </si>
  <si>
    <t>ORG 6001</t>
  </si>
  <si>
    <t xml:space="preserve"> - Vzdělávací centrum pro slabozraké Olomouc - Hejčín </t>
  </si>
  <si>
    <t xml:space="preserve"> - Kvalitnější vzdělávání řemeslníků na SŠP - nadstavba učebn. pavilonu</t>
  </si>
  <si>
    <t xml:space="preserve"> - SŠ polygrafická, Olomouc - Modernizace výukových prostor a vybavení </t>
  </si>
  <si>
    <t xml:space="preserve"> - VOŠ a SPŠ, Gen. Krátkého 1, Šumperk - Půdní vestavba učeben</t>
  </si>
  <si>
    <t>ORG 6003</t>
  </si>
  <si>
    <t>ORG 60007</t>
  </si>
  <si>
    <t xml:space="preserve"> - UZ 870</t>
  </si>
  <si>
    <t>akce zajišťované odborem investic a evropských programů</t>
  </si>
  <si>
    <t>60001100214</t>
  </si>
  <si>
    <t>60001100237</t>
  </si>
  <si>
    <t>60001100355</t>
  </si>
  <si>
    <t>60001100357</t>
  </si>
  <si>
    <t>60001100361</t>
  </si>
  <si>
    <t>60001100370</t>
  </si>
  <si>
    <t>60001100391</t>
  </si>
  <si>
    <t>60001100538</t>
  </si>
  <si>
    <t>60001100603</t>
  </si>
  <si>
    <t>60001100604</t>
  </si>
  <si>
    <t>60001100605</t>
  </si>
  <si>
    <t>60001100607</t>
  </si>
  <si>
    <t>Střední průmyslová škola Hranice - Výtah na domově mládeže</t>
  </si>
  <si>
    <t>Střední škola zemědělská, Přerov, Osmek 47 - Horkovodní přípojka</t>
  </si>
  <si>
    <t>Základní škola Šternberk, Olomoucká 76 - Sociální zařízení, II. etapa</t>
  </si>
  <si>
    <t>Střední škola zemědělská, Přerov, Osmek 47-Rekonstrukce budovy kovárny v areálu SŠZe Přerov, II. etapa</t>
  </si>
  <si>
    <t>Gymnázium, Olomouc - Hejčín, Tomkova 45 - Sociální zařízení na budově C</t>
  </si>
  <si>
    <t>Dětský domov a Školní jídelna, Hranice, Purgešova 4 - Zateplení fasády</t>
  </si>
  <si>
    <t xml:space="preserve">Střední škola sociální péče a služeb, Zábřeh, nám. 8. května 2 -Zvedací plošina pro tělesně handicapované </t>
  </si>
  <si>
    <t>Střední odborná škola a Střední odborné učiliště strojírenské a stavební, Jeseník, Dukelská 1240 - Střecha areálu dílen odborného výcviku, II. etapa</t>
  </si>
  <si>
    <t>Stavební úpravy Střední, Základní a Mateřské školy  Prostějov pro potřeby Základní školy a Dětského domova Prostějov v objektu Tetín 5 a 7 Prostějov</t>
  </si>
  <si>
    <t>Střední průmyslová škola a Obchodní akademie, Uničov, Školní 164 - kotelna na domově mládeže</t>
  </si>
  <si>
    <t>SCHOLA SERVIS – zařízení pro další vzdělávání pedagogických pracovníků a středisko služeb školám, Prostějov - Rekonstrukce střechy, Olomoucká 25</t>
  </si>
  <si>
    <t>Vyšší odborná škola a Střední škola automobilní, Zábřeh, U Dráhy 6 - střecha kinosálu a příslušenství</t>
  </si>
  <si>
    <t xml:space="preserve">Střední odborná škola gastronomie a potravinářství - vzduchotechnika ve školní kuchyni  </t>
  </si>
  <si>
    <t xml:space="preserve">Gymnázium, Jeseník, Komenského 281 - kotelna vyššího gymnázia </t>
  </si>
  <si>
    <t>Střední škola logistiky a chemie, Olomouc, U Hradiska 29 - vybudování výdejny stravy</t>
  </si>
  <si>
    <t>Základní umělecká škola Miloslava Stibora - výtvarný obor, Olomouc, Pionýrská 4 - odstranění vlhkosti</t>
  </si>
  <si>
    <t>Střední průmyslová škola stavební, Lipník nad Bečvou, Komenského sady 257 - stavební a dispoziční úpravy internátu školy</t>
  </si>
  <si>
    <t>Střední škola elektrotechnická, Lipník nad Bečvou, Tyršova 781 - Elektroinstalace domova mládeže Bratrská 1114</t>
  </si>
  <si>
    <t>Střední průmyslová škola oděvní, Prostějov, Vápenice 1 - Domov mládeže Palečkova 1, Prostějov - stavební úpravy školy</t>
  </si>
  <si>
    <t>Střední odborná škola a Střední odborné učiliště, Uničov, Moravské nám. 681 - Dílny pro praktickou výuku</t>
  </si>
  <si>
    <t>Dětský domov a Školní jídelna, Olomouc, U Sportovní haly 1a - Kuchyňský blok</t>
  </si>
  <si>
    <t>Gymnázium, Jeseník, Komenského 281 - Výdejna stravy</t>
  </si>
  <si>
    <t>Střední škola technická a obchodní, Olomouc, Kosinova 4 - Dlažba na chodbách školy</t>
  </si>
  <si>
    <t>Střední odborná škola a Střední odborné učiliště, Šumperk, Gen. Krátkého 30 - výměna kotlů</t>
  </si>
  <si>
    <t>Gymnázium, Olomouc, Čajkovského 9 - výdejna stravy</t>
  </si>
  <si>
    <t>Vlastivědné muzeum Jesenicka -Stálá expozice čarodějnických procesů</t>
  </si>
  <si>
    <t>Vlastivědné muzeum v Šumperku - Expozice archeologie v mohelnickém muzeu</t>
  </si>
  <si>
    <t>Vlastivědné muzeum v Olomouci - Elektroinstalace</t>
  </si>
  <si>
    <t>Vlastivědné muzeum v Olomouci - Tvorba stálých expozic</t>
  </si>
  <si>
    <t>Muzeum Komenského v Přerově - Výměna a zateplení střešního pláště budovy Horní m.č.21, Přerov</t>
  </si>
  <si>
    <t xml:space="preserve">Vědecká knihovna v Olomouci - Rekonstrukce interiéru hlavní budovy </t>
  </si>
  <si>
    <t>Muzeum Komenského v Přerově - Rekonstrukce budovy Horní náměstí 7, Přerov</t>
  </si>
  <si>
    <t>Domov důchodců Hrubá Voda - Stavební úpravy budovy pro muže</t>
  </si>
  <si>
    <t>Vincentinum - poskytovatel soc. služeb Šternberk - Stavební úpravy Zeleného domova</t>
  </si>
  <si>
    <t>Vincentinum Šternberk - Úprava venkovních prostor pro imobilní uživatele</t>
  </si>
  <si>
    <t>Domov důchodců Prostějov - Koupelna III. oddělení včetně vybavení</t>
  </si>
  <si>
    <t xml:space="preserve">Domov Na zámečku Rokytnice - Sociální zařízení na pokojích a rozvody zdravotechniky </t>
  </si>
  <si>
    <t>Domov důchodců Prostějov - Úprava vchodu do budovy</t>
  </si>
  <si>
    <t>Nové Zámky - poskytovatel sociálních služeb - Garážová vrata a příjezdová komunikace</t>
  </si>
  <si>
    <t>Domov "Na Zámku" - Rekonstrukce kuchyně</t>
  </si>
  <si>
    <t xml:space="preserve">Domov pro seniory Javorník - evakuační lůžkový výtah </t>
  </si>
  <si>
    <t xml:space="preserve"> Ústav sociální péče pro mládež Jeseník - Osobní výtah průchozí (lůžkový)</t>
  </si>
  <si>
    <t>Domov seniorů POHODA Chválkovice-Stravovací provoz</t>
  </si>
  <si>
    <t>Domov Na zámečku Rokytnice - Stavební úpravy pokojů</t>
  </si>
  <si>
    <t>Zdravotnická záchranná služba Olomouckého kraje - Dostavba garáží  k provozní budově letecké služby</t>
  </si>
  <si>
    <t>Zdravotnická záchranná služba Olomouckého kraje - Stavební úpravy objektu v Konici</t>
  </si>
  <si>
    <t>Odborný léčebný ústav neurologicko-geriatrický Moravský Beroun - Výtah v pavilonu 1</t>
  </si>
  <si>
    <t xml:space="preserve">Odborný léčebný ústav neurologicko-geriatrický Moravský Beroun - Rekonstrukce a dostavba oddělení rehabilitace </t>
  </si>
  <si>
    <t>Pavlovice - Hradčany - I.úsek</t>
  </si>
  <si>
    <t>Hranice - průtah (ulice 1.máje, plocha 7280 m2, 3 autobusové zálivy</t>
  </si>
  <si>
    <t>Písařov - průtah</t>
  </si>
  <si>
    <t>Sypače pro SSOK</t>
  </si>
  <si>
    <t>II/367 Bedihošť - Kojetín</t>
  </si>
  <si>
    <t>Slavonín - stavební úprava křižovatky</t>
  </si>
  <si>
    <t>Ústav sociální péče pro mládež Jeseník - Osobní výtah neprůchozí (lůžkový)</t>
  </si>
  <si>
    <t>Schváleno usnesením Zastupitelstva Olomouckého kraje UZ/19/9/2011 z 22.4.2011, ve výši 22 823 000,- Kč</t>
  </si>
  <si>
    <t xml:space="preserve"> - Silnice II/444 Mohelnice – Stavenice </t>
  </si>
  <si>
    <t xml:space="preserve"> - Dub - Tovačov, stavební úpravy (křiž. s II/150 po křiž. do Tovačova II/433)</t>
  </si>
  <si>
    <t xml:space="preserve"> - Silnice III/4469 Bohuňovice - průtah</t>
  </si>
  <si>
    <t xml:space="preserve"> - II/366 Rekonstrukce silnice a most Kostelec na Hané, III.etapa</t>
  </si>
  <si>
    <t xml:space="preserve"> - Čechy - Domaželice - obchvat</t>
  </si>
  <si>
    <t xml:space="preserve"> - III/4436, III/44310 Tovéř - okružní křižovatka</t>
  </si>
  <si>
    <t xml:space="preserve"> - II/447, II/446, III/44621 Pňovice - průtah </t>
  </si>
  <si>
    <t xml:space="preserve"> - II/449 - Valšovský Žleb - Dlouhá Loučka</t>
  </si>
  <si>
    <t xml:space="preserve"> - Most evidenční č.437-013 - Lipník nad Bečvou</t>
  </si>
  <si>
    <t xml:space="preserve"> - III/44311 Dolany - průtah, II. etapa</t>
  </si>
  <si>
    <t xml:space="preserve"> - Revitalizace území areálu staré nemocnice v Prostějově II.etapa</t>
  </si>
  <si>
    <t xml:space="preserve"> - Domov Větrný mlýn Skalička - přístavba lůžkového pavilonu </t>
  </si>
  <si>
    <t xml:space="preserve"> - Nový pavilon areálu Domov seniorů Pohoda Chválkovice</t>
  </si>
  <si>
    <t xml:space="preserve"> - Nový pavilon areálu Domov pro seniory Radkova Lhota</t>
  </si>
  <si>
    <t xml:space="preserve"> - Nový pavilon areálu Domov seniorů Pohoda, Olomouc - Chválkovice</t>
  </si>
  <si>
    <t xml:space="preserve"> - Gymnázium, Olomouc, Čajkovského 9 - Výstavba tělocvičny a sportovní víceúčelové hřiště </t>
  </si>
  <si>
    <t xml:space="preserve"> - Dostavba budovy Slovanského gymnázia Olomouc</t>
  </si>
  <si>
    <t xml:space="preserve"> - Realizace energeticky úsporných opatření - SPŠ a OA Uničov  </t>
  </si>
  <si>
    <t xml:space="preserve"> - Realizace energeticky úsporných opatření - SŠ technická Přerov</t>
  </si>
  <si>
    <t xml:space="preserve"> - Realizace energeticky úsporných opatření - ZŠ a DD Zábřeh</t>
  </si>
  <si>
    <t xml:space="preserve"> - Zámek Čechy pod Kosířem - rekonstrukce a využití objektů a revitalizace parku</t>
  </si>
  <si>
    <t xml:space="preserve"> - Krajské operační a informační středisko (KOPIS)</t>
  </si>
  <si>
    <t>oblast krizového řízení</t>
  </si>
  <si>
    <t xml:space="preserve"> - Rekonstrukce silnice číslo III/36621 Na Příhonech v Konici</t>
  </si>
  <si>
    <t xml:space="preserve"> - most ev.č. 44620 - 5, Střeň</t>
  </si>
  <si>
    <t xml:space="preserve"> - Rozstání - Baldovec</t>
  </si>
  <si>
    <t xml:space="preserve"> - most ev.č. 373 49 - 7, Čunín</t>
  </si>
  <si>
    <t xml:space="preserve"> - most ev.č. 3703 - 10, Sudkov</t>
  </si>
  <si>
    <t xml:space="preserve"> - Strachovičky - Supíkovice</t>
  </si>
  <si>
    <t xml:space="preserve"> - most ev.č. 457 - 021, Velké Kunětice</t>
  </si>
  <si>
    <t xml:space="preserve"> - mostní program</t>
  </si>
  <si>
    <t xml:space="preserve"> - III/44812 Čechy pod Kosířem - Lhota</t>
  </si>
  <si>
    <t xml:space="preserve"> - III/37313 Slavětín - Bouzov</t>
  </si>
  <si>
    <t xml:space="preserve"> - III/44311 Véska - Jívová</t>
  </si>
  <si>
    <t xml:space="preserve"> - II/445 Mutkov - Chabičov</t>
  </si>
  <si>
    <t xml:space="preserve"> - II/455 most 455-022 Supíkovice</t>
  </si>
  <si>
    <t xml:space="preserve"> - II/436 Přerov - Penčice</t>
  </si>
  <si>
    <t xml:space="preserve"> - II/315 Hoštejn - most ev.č. 315-018</t>
  </si>
  <si>
    <t xml:space="preserve"> - III/36619 - Skřípov - průtah</t>
  </si>
  <si>
    <t xml:space="preserve"> - oblast krizového řízení</t>
  </si>
  <si>
    <t xml:space="preserve"> - Realizace energeticky úsporných opatření - DD Kobylá nad Vidnávkou </t>
  </si>
  <si>
    <t>8115 - pokračující z let minulých</t>
  </si>
  <si>
    <t>8123 - nové</t>
  </si>
  <si>
    <t>zapojit do roku 2012</t>
  </si>
  <si>
    <t>8115+2229 - 2011</t>
  </si>
  <si>
    <t>8123 - 2011</t>
  </si>
  <si>
    <t>8115-2012</t>
  </si>
  <si>
    <t>vratka depozita SSOK</t>
  </si>
  <si>
    <t>vratka depozita 1134</t>
  </si>
  <si>
    <t>vratka depozita 1128</t>
  </si>
  <si>
    <t>UZ 888-2011</t>
  </si>
  <si>
    <t>z toho zapojeno</t>
  </si>
  <si>
    <t>dne 24.1.2012 RZ 18/12</t>
  </si>
  <si>
    <t>rozdíl</t>
  </si>
  <si>
    <t>vratky PO, bude zapojeno 7.2.2012</t>
  </si>
  <si>
    <t>ORJ 17, UZ 870</t>
  </si>
  <si>
    <t>Orj 50</t>
  </si>
  <si>
    <t>Orj 59</t>
  </si>
  <si>
    <t>a) Financovano z úvěrového rámce Evropské investiční banky ( 3 000 tis.Kč)</t>
  </si>
  <si>
    <t>1. Oblast školství</t>
  </si>
  <si>
    <t>a) akce zajišťované odborem investic a evropských programů</t>
  </si>
  <si>
    <t>b) akce zajišťované příspěvkovými organizacemi</t>
  </si>
  <si>
    <t xml:space="preserve"> - Základní škola, Fučíkova 312, Jeseník - Realizace energeticky úsporných zařízení</t>
  </si>
  <si>
    <t xml:space="preserve"> - Střední průmyslová škola strojnická, tř. 17. listopadu 49, Olomouc - Realizace energeticky úsporných zařízení</t>
  </si>
  <si>
    <t xml:space="preserve"> - Gymnázium J.Wolkera, Kollárova 3, Prostějov - Realizace energeticky úsporných zařízení</t>
  </si>
  <si>
    <t xml:space="preserve"> - SOŠ a SOU strojírenské a stavební, Dukelská 1240, Jeseník - Realizace energeticky úsporných zařízení</t>
  </si>
  <si>
    <t xml:space="preserve"> - Obchodní akademie, Olomoucká 82, Mohelnice- Realizace energeticky úsporných zařízení</t>
  </si>
  <si>
    <t xml:space="preserve"> - SOU obchodní, nám E. Husserla 1, Prostějov - Realizace energeticky úsporných zařízení</t>
  </si>
  <si>
    <t xml:space="preserve">Oblast školství celkem </t>
  </si>
  <si>
    <t xml:space="preserve"> - Domov důchodců, Hlubočky 11, Hrubá Voda  - Realizace energeticky úsporných zařízení</t>
  </si>
  <si>
    <t xml:space="preserve">Oblast sociální celkem </t>
  </si>
  <si>
    <t>2. Oblast sociální</t>
  </si>
  <si>
    <t>3. Oblast kultury</t>
  </si>
  <si>
    <t xml:space="preserve">Oblast kultury celkem </t>
  </si>
  <si>
    <t xml:space="preserve"> - OLÚ Paseka -Centrální jídelna pacientů</t>
  </si>
  <si>
    <t xml:space="preserve">Oblast zdravotnictví celkem </t>
  </si>
  <si>
    <t>b) akce zajišťované Správou silnic Olomouckého kraje (ORG 1600)</t>
  </si>
  <si>
    <t>6. Oblast krizového řízení</t>
  </si>
  <si>
    <t xml:space="preserve">Oblast dopravy celkem </t>
  </si>
  <si>
    <t xml:space="preserve">Oblast krizového řízení celkem </t>
  </si>
  <si>
    <t>4. Oblast dopravy</t>
  </si>
  <si>
    <t>5. Oblast zdravotnictví</t>
  </si>
  <si>
    <t xml:space="preserve"> - rozpočet kraje</t>
  </si>
  <si>
    <t xml:space="preserve"> - úvěr KB</t>
  </si>
  <si>
    <t xml:space="preserve"> - úvěr EIB</t>
  </si>
  <si>
    <t xml:space="preserve"> - účelová dotace ze MŽP a SFŽP</t>
  </si>
  <si>
    <t xml:space="preserve"> - SFDI</t>
  </si>
  <si>
    <t xml:space="preserve"> - povodně - rozpočet kraje</t>
  </si>
  <si>
    <t xml:space="preserve"> - povodně - dotace ze SR</t>
  </si>
  <si>
    <t>oblast cestovního ruchu</t>
  </si>
  <si>
    <t>oblast krajské správy</t>
  </si>
  <si>
    <t>CELKEM</t>
  </si>
  <si>
    <t xml:space="preserve">Rekapitulace dle zdrojů: </t>
  </si>
  <si>
    <t>rozpočet Olomouckého kraje</t>
  </si>
  <si>
    <t>úvěrový rámec KB</t>
  </si>
  <si>
    <t>úvěrový rámec EIB</t>
  </si>
  <si>
    <t>půjčka SFDI - předfinancování</t>
  </si>
  <si>
    <t>účelové dotace ze SR a SF</t>
  </si>
  <si>
    <t>1/ akce zajišťované Olomouckým krajem</t>
  </si>
  <si>
    <t>2/ akce zajišťované příspěvkovými organizacemi Olomouckého kraje</t>
  </si>
  <si>
    <t xml:space="preserve"> - nájem NOK</t>
  </si>
  <si>
    <t>b) Financovano z úvěrového rámce Komerční banky, a.s. ( 700 tis.Kč)</t>
  </si>
  <si>
    <t xml:space="preserve">2. Oblast sociální </t>
  </si>
  <si>
    <t>4. Oblast kultury</t>
  </si>
  <si>
    <t>3. Oblast dopravy</t>
  </si>
  <si>
    <t>c) Financovano z z dotace Státního fondu dopravní infrastruktury</t>
  </si>
  <si>
    <t xml:space="preserve">d) Financováno z rozpočtu Olomouckého kraje </t>
  </si>
  <si>
    <t xml:space="preserve"> - Základní škola Šternberk - Sociální zařízení</t>
  </si>
  <si>
    <t xml:space="preserve"> - Střední škola zemědělská, Přerov, Osmek 47-rekonstrukce budovy Kovárny</t>
  </si>
  <si>
    <t xml:space="preserve"> - Gymnázium, Olomouc, Čajkovského 9 - Sportovní víceúčelové hřiště</t>
  </si>
  <si>
    <t xml:space="preserve"> - Gymnázium, Olomouc - Hejčín, Tomkova 45 - Sociální zařízení na budově C</t>
  </si>
  <si>
    <t xml:space="preserve"> - Dětský domov a Školní jídelna, Hranice, Purgešova 4 - Zateplení fasády</t>
  </si>
  <si>
    <t xml:space="preserve"> - Střední zdravotnická škola a Vyšší odborná škola zdravotnická Emanuela Pöttinga, Olomouc, Pöttingova 2 - Rekonstrukce osvětlení a elektroinstalace</t>
  </si>
  <si>
    <t xml:space="preserve"> - Střední škola řezbářská, Tovačov, Nádražní 146 - Střecha na strojní dílně</t>
  </si>
  <si>
    <t xml:space="preserve"> - SŠ sociální péče a služeb, Zábřeh, nám. 8. května 2 - Pojízdná plošina pro tělesně handicapované</t>
  </si>
  <si>
    <t xml:space="preserve"> - Obchodní akademie Prostějov - Kotelna</t>
  </si>
  <si>
    <t xml:space="preserve"> - Střední odborná škola, Šumperk, Zemědělská 3 - Střecha nad šatnami</t>
  </si>
  <si>
    <t xml:space="preserve"> - Dětský domov a Školní jídelna, Jeseník, Priessnitzova 405 - Zdravotechnika</t>
  </si>
  <si>
    <t xml:space="preserve"> - Střední odborná škola a Střední odborné učiliště strojírenské a stavební, Jeseník, Dukelská 1240 - </t>
  </si>
  <si>
    <t xml:space="preserve"> - Stavební úpravy Střední, Základní a Mateřské školy  Prostějov pro potřeby Základní školy a Dětského domova Prostějov v objektu Tetín 5 a 7 Prostějov</t>
  </si>
  <si>
    <t>b/ akce zajišťované příspěvkovými organizacemi</t>
  </si>
  <si>
    <t xml:space="preserve"> - Střední škola řezbářská, Nádražní 146, Tovačov</t>
  </si>
  <si>
    <t xml:space="preserve"> - Domov důchodců Hrubá Voda- Stavební úpravy budovy pro muže</t>
  </si>
  <si>
    <t>100257</t>
  </si>
  <si>
    <t xml:space="preserve"> - Vincentinum - Šternberk - Stavební úpravy Zeleného domova</t>
  </si>
  <si>
    <t>100261</t>
  </si>
  <si>
    <t xml:space="preserve"> - Vincentinum Šternberk - Úprava venkovních prostor pro imobilní uživatele</t>
  </si>
  <si>
    <t>100262</t>
  </si>
  <si>
    <t xml:space="preserve"> - Domov důchodců Prostějov - Koupelna III. oddělení včetně vybavení</t>
  </si>
  <si>
    <t>100272</t>
  </si>
  <si>
    <t>100328</t>
  </si>
  <si>
    <t xml:space="preserve"> - Domov na Zámečku Rokytnice - Sociální zařízení a rozvody zdravotechniky</t>
  </si>
  <si>
    <t>100351</t>
  </si>
  <si>
    <t xml:space="preserve"> - Pasportizace objektů příspěvkových organizací</t>
  </si>
  <si>
    <t>100352</t>
  </si>
  <si>
    <t xml:space="preserve"> - Poradenské centrum sociálních služeb OK - Sanace omítky a zdiva</t>
  </si>
  <si>
    <t>100395</t>
  </si>
  <si>
    <t xml:space="preserve"> - Domov důchodců Hrubá Voda - Bezbarierový vstup budovy žen</t>
  </si>
  <si>
    <t>100396</t>
  </si>
  <si>
    <t xml:space="preserve"> - Domov důchodců Prostějov - Úprava vchodu do budovy</t>
  </si>
  <si>
    <t>100400</t>
  </si>
  <si>
    <t xml:space="preserve"> - Domov důchodců Štíty - Připojení zemního plynu</t>
  </si>
  <si>
    <t>100403</t>
  </si>
  <si>
    <t xml:space="preserve"> - Nové Zámky - poskytovatel sociálních služeb - Garážová vrata a příjezdová komunikace</t>
  </si>
  <si>
    <t>100408</t>
  </si>
  <si>
    <t xml:space="preserve"> - Domov "Na Zámku" - Rekonstrukce kuchyně</t>
  </si>
  <si>
    <t>100411</t>
  </si>
  <si>
    <t xml:space="preserve"> - Domov pro seniory Javorník -Evakuační lůžkový výtah </t>
  </si>
  <si>
    <t>100516</t>
  </si>
  <si>
    <t xml:space="preserve"> - Ústav sociální péče pro mládež Jeseník - Osobní výtah průchozí (lůžkový)</t>
  </si>
  <si>
    <t>100517</t>
  </si>
  <si>
    <t xml:space="preserve"> - Domov seniorů POHODA Chválkovice - Stravovací provoz</t>
  </si>
  <si>
    <t>100519</t>
  </si>
  <si>
    <t xml:space="preserve"> - Vincentinum - poskytovatel sociálních služeb Šternberk - Pracovní dílny pro klienty </t>
  </si>
  <si>
    <t>100520</t>
  </si>
  <si>
    <t xml:space="preserve"> - Nové Zámky - poskytovatel soc. služeb - Výměna oken a rekonstrukce venkovního omítkového pláště</t>
  </si>
  <si>
    <t>100523</t>
  </si>
  <si>
    <t xml:space="preserve"> - Domov důchodců Prostějov -Rekonstrukce kuchyně  </t>
  </si>
  <si>
    <t>100525</t>
  </si>
  <si>
    <t xml:space="preserve"> - Domov důchodců Jesenec - Půdní vestavba</t>
  </si>
  <si>
    <t>100527</t>
  </si>
  <si>
    <t xml:space="preserve"> - Domov Na zámečku Rokytnice - Stavební úpravy pokojů</t>
  </si>
  <si>
    <t>100528</t>
  </si>
  <si>
    <t xml:space="preserve"> - Domov Na zámečku Rokytnice - Půdní vestavba</t>
  </si>
  <si>
    <t>100529</t>
  </si>
  <si>
    <t>100540</t>
  </si>
  <si>
    <t xml:space="preserve"> - Domov důchodců Náměšt na Hané - přístavba pavilonu</t>
  </si>
  <si>
    <t>100474</t>
  </si>
  <si>
    <t xml:space="preserve"> - II/366 Rekonstrukce silnice a most Kostelec na Hané</t>
  </si>
  <si>
    <t xml:space="preserve"> - Čechy-Domaželice - obchvat</t>
  </si>
  <si>
    <t xml:space="preserve"> - II/150 Ohrozim-obchvat</t>
  </si>
  <si>
    <t xml:space="preserve"> - II/150 Dub nad Moravou - hr.okresu PV - rekonstrukce</t>
  </si>
  <si>
    <t xml:space="preserve"> - Kozlovice - obchvat</t>
  </si>
  <si>
    <t xml:space="preserve"> - II/434 Sušice - přeložka silnice</t>
  </si>
  <si>
    <t xml:space="preserve"> - Prostějov - přeložka silnice</t>
  </si>
  <si>
    <t xml:space="preserve"> - Přerov - úprava křižovatky silnic</t>
  </si>
  <si>
    <t xml:space="preserve"> - Olomouc - komunikace Pražská - Křelovská (propojení okružní křižovatky u Globusu a silnice II/365)</t>
  </si>
  <si>
    <t xml:space="preserve"> - Dub - Tovačov, stavební úpravy (křiž. s II/150 po křiž. do II/433)</t>
  </si>
  <si>
    <t xml:space="preserve"> - Dub nad Moravou - Želátovice - Dřevohostice</t>
  </si>
  <si>
    <t xml:space="preserve"> - II/570 Hněvotín - rekonstrukce silnice</t>
  </si>
  <si>
    <t xml:space="preserve"> - II/434, II/437 Lipník nad Bečvou - okružní křižovatka</t>
  </si>
  <si>
    <t xml:space="preserve"> - Bělkovice - Lašťany -obchvat</t>
  </si>
  <si>
    <t xml:space="preserve"> - Vypořádání staveb po jejich dokončení z minulých let - výkupy pozemků a jiné</t>
  </si>
  <si>
    <t xml:space="preserve"> - II/367Bedihošť - Kojetín</t>
  </si>
  <si>
    <t xml:space="preserve"> - Olomouc-okružní křižovatka ul. Dobrovského, Na Střelnici</t>
  </si>
  <si>
    <t xml:space="preserve"> - Pňovice - průtah II/447, II/446, III/44621</t>
  </si>
  <si>
    <t xml:space="preserve"> - Olomouc - Svatý Kopeček - přeložka komunikace III/4432</t>
  </si>
  <si>
    <t xml:space="preserve"> - Valšovský Žleb - Dlouhá Loučka II/449</t>
  </si>
  <si>
    <t xml:space="preserve"> - Uničov - Šternberk- II/444</t>
  </si>
  <si>
    <t xml:space="preserve"> - III/44429 - Šternberk, Hvězdné údolí I. etapa</t>
  </si>
  <si>
    <t xml:space="preserve"> - Vlastivědné muzeum Jesenicka - inženýrské sítě a fasáda</t>
  </si>
  <si>
    <t xml:space="preserve"> - Vlastivědné muzeum Jesenicka - Stálá expozice čarodějnických procesů</t>
  </si>
  <si>
    <t xml:space="preserve"> - Vlastivědné muzeum Jesenicka - Expozice geologie</t>
  </si>
  <si>
    <t xml:space="preserve"> - Vlastivědné muzeum Jesenicka - Rekonstrukce budovy</t>
  </si>
  <si>
    <t xml:space="preserve"> - Vlastivědné muzeum v Šumperku - Expozice archeologie v mohelnickém muzeu</t>
  </si>
  <si>
    <t xml:space="preserve"> - Vlastivědné muzeum v Olomouci - Elektroinstalace</t>
  </si>
  <si>
    <t xml:space="preserve"> - Vlastivědné muzeum v Olomouci - Výměna oken v hlavní budově VMO</t>
  </si>
  <si>
    <t xml:space="preserve"> - Vlastivědné muzeum v Olomouci - Tvorba stálých expozic</t>
  </si>
  <si>
    <t xml:space="preserve"> - Vlastivědné muzeum Jesenicka - Guide port expozice čarodějnic</t>
  </si>
  <si>
    <t xml:space="preserve"> - Vlastivědné muzeum v Šumperku - Mobilní regály</t>
  </si>
  <si>
    <t xml:space="preserve">5. Oblast zdravotnictví </t>
  </si>
  <si>
    <t xml:space="preserve"> - výstavba heliportu Jeseník - ZZS OK</t>
  </si>
  <si>
    <t xml:space="preserve"> - Odborný léčebný ústav neurologicko-geriatrický Moravský Beroun, přísp. org. - Úprava oddělení III, pavilon 2 pro oddělení DIOP</t>
  </si>
  <si>
    <t xml:space="preserve"> - Dostavba garáží Zdravotnické záchranné služby Olomouckého kraje k provozní budově letecké služby, Hněvotínská 60, Olomouc</t>
  </si>
  <si>
    <t xml:space="preserve"> - Zdravotnická záchranná služba Olomouckého kraje - stavební úpravy objektu v Konici</t>
  </si>
  <si>
    <t>oblast zdravotnictví - nájemné NOK</t>
  </si>
  <si>
    <t>a) akce zajišťované příslušnými odbory</t>
  </si>
  <si>
    <t>zastupitelé</t>
  </si>
  <si>
    <t xml:space="preserve"> - fotoaparát</t>
  </si>
  <si>
    <t>kancelář hejtmana</t>
  </si>
  <si>
    <t>kancelář ředitele</t>
  </si>
  <si>
    <t xml:space="preserve"> - technické zhodnocení budov KÚOK</t>
  </si>
  <si>
    <t xml:space="preserve"> - stroje, přístroje a zařízení</t>
  </si>
  <si>
    <t xml:space="preserve"> - nákup nových automobilů</t>
  </si>
  <si>
    <t xml:space="preserve">odbor majetkový a právní </t>
  </si>
  <si>
    <t>odbor informačních technologií</t>
  </si>
  <si>
    <t>odbor strategického rozvoje kraje</t>
  </si>
  <si>
    <t xml:space="preserve"> - projekty financované metodou EPC</t>
  </si>
  <si>
    <t>Investiční výdaje odborů</t>
  </si>
  <si>
    <t xml:space="preserve">  - investiční výdaje odborů</t>
  </si>
  <si>
    <t>e) Plán obnovy úseků silnic a silničních objektů po povodních v Olomouckém kraji - financováno z rozpočtu Olomouckého kraje a z Ministerstva pro místní rozvoj</t>
  </si>
  <si>
    <t>1. Oblast dopravy</t>
  </si>
  <si>
    <t>a) akce zajišťované odborem investic a evropských programů - z rozpočtu Olomouckého kraje</t>
  </si>
  <si>
    <t>III/4562</t>
  </si>
  <si>
    <t>Nová Červená Voda</t>
  </si>
  <si>
    <t>II/377</t>
  </si>
  <si>
    <t>v Plumlově - sanace svahu</t>
  </si>
  <si>
    <t>60004100566</t>
  </si>
  <si>
    <t>43911-5</t>
  </si>
  <si>
    <t>most Hustopeče nad Bečvou</t>
  </si>
  <si>
    <t>60004100569</t>
  </si>
  <si>
    <t>II/438</t>
  </si>
  <si>
    <t>Opatovice</t>
  </si>
  <si>
    <t>60004100570</t>
  </si>
  <si>
    <t>4535-3</t>
  </si>
  <si>
    <t>směr  N. Vilémovice (Uhelná)</t>
  </si>
  <si>
    <t>60004100479</t>
  </si>
  <si>
    <t>438-001</t>
  </si>
  <si>
    <t>Teplice nad Bečvou</t>
  </si>
  <si>
    <t>b) akce zajišťované odborem investic a evropských programů - z Ministerstva pro Mísní rozvoj ČR - limitky</t>
  </si>
  <si>
    <t>Povodně celkem</t>
  </si>
  <si>
    <t>f) Financováno z účelové dotace poskytnuté ze státního rozpočtu</t>
  </si>
  <si>
    <t>a) akce zajišťované odborem investic a evropských programů - účelová dotace z MŽP a SFŽP</t>
  </si>
  <si>
    <t xml:space="preserve"> - SPŠ Přerov, Havlíčkova - výstavba tělocvičny</t>
  </si>
  <si>
    <t xml:space="preserve"> - Gymnázium, Olomouc, Čajkovského 9 - Výstavba tělocvičny </t>
  </si>
  <si>
    <t xml:space="preserve"> - Střední průmyslová škola strojnická, Olomouc, tř. 17. listopadu 49 - rekonstrukce osvětlení a elektroinstalace</t>
  </si>
  <si>
    <t xml:space="preserve"> - Vzdělávací centrum pro slabozraké Olomouc - Hejčín -výstavba nového zařízení</t>
  </si>
  <si>
    <t xml:space="preserve"> - Střední odborné učiliště potravinářské, Jeseník, U Jatek 8 - Sedlová střecha na objektu tělocvičny</t>
  </si>
  <si>
    <t xml:space="preserve"> - Gymnázium, Olomouc, Čajkovského 9 - výdejna stravy</t>
  </si>
  <si>
    <t xml:space="preserve"> - ZŠ a DD Zábřeh, Sušilova 40 - Oprava střech</t>
  </si>
  <si>
    <t xml:space="preserve"> - ZŠ Vlčice - Oprava střechy</t>
  </si>
  <si>
    <t xml:space="preserve"> - Gymnázium, Horní náměstí 5, Šternberk</t>
  </si>
  <si>
    <t xml:space="preserve"> - Střední škola sociální péče a služeb, nám. 8. května č. 2, Zábřeh</t>
  </si>
  <si>
    <t xml:space="preserve"> - Střední odborná škola gastronomie a potravinářství, U jatek 8, Jeseník</t>
  </si>
  <si>
    <t xml:space="preserve"> - Obchodní akademie, Mohelnice, Olomoucká 82 - výměna elektrických rozvodů</t>
  </si>
  <si>
    <t xml:space="preserve"> - Obchodní akademie a Jazyková škola s právem státní jazykové zkoušky, Přerov, Bartošova 24 - sprchy a šatny u tělocvičny</t>
  </si>
  <si>
    <t xml:space="preserve"> - Střední oborná škola, Šumperk, Zemědělská 3 - odstranění vlhkosti</t>
  </si>
  <si>
    <t xml:space="preserve"> - Střední zdravotnická škola a Vyšší odborná škola zdravotnická Emanuela Pöttinga, Olomouc, Pöttingova 2 - rekonstrukce WC v budově C, I. etapa</t>
  </si>
  <si>
    <t xml:space="preserve"> - Dětský domov a Školní jídelna, Olomouc, U Sportovní haly 1a - elektrorozvody na chodbách</t>
  </si>
  <si>
    <t xml:space="preserve"> - Střední průmyslová škola a Obchodní akademie, Uničov, Školní 164 - kotelna na domově mládeže</t>
  </si>
  <si>
    <t xml:space="preserve"> - Gymnázium, Šternberk, Horní náměstí 5 - Kanalizace</t>
  </si>
  <si>
    <t xml:space="preserve"> - Střední škola polygrafická, Olomouc, Střední Novosadská 55 - rozvody slaboproudu</t>
  </si>
  <si>
    <t xml:space="preserve"> - Střední škola polygrafická, Olomouc, Střední Novosadská 55 - strukturovaná kabeláž a konfigurace stávajících kabeláží a serveru PC sítě včetně Upgrade serveru</t>
  </si>
  <si>
    <t xml:space="preserve"> - SCHOLA SERVIS – zařízení pro další vzdělávání pedagogických pracovníků a středisko služeb školám, Prostějov - úprava vjezdu, Olomoucká 25</t>
  </si>
  <si>
    <t xml:space="preserve"> - Vyšší odborná škola a Střední škola automobilní, Zábřeh, U Dráhy 6 - střecha kinosálu a příslušenství</t>
  </si>
  <si>
    <t xml:space="preserve"> - Střední odborná škola gastronomie a potravinářství - vzduchotechnika ve školní kuchyni  </t>
  </si>
  <si>
    <t xml:space="preserve"> - Střední odborná škola gastronomie a potravinářství, Jeseník, U Jatek 8 - udírenská komora </t>
  </si>
  <si>
    <t xml:space="preserve"> - Gymnázium, Jeseník, Komenského 281 - kotelna vyššího gymnázia </t>
  </si>
  <si>
    <t xml:space="preserve"> - Střední škola logistiky a chemie, Olomouc, U Hradiska 29 - vybudování výdejny stravy</t>
  </si>
  <si>
    <t xml:space="preserve"> - Základní umělecká škola Miloslava Stibora - výtvarný obor, Olomouc, Pionýrská 4 - odstranění vlhkosti</t>
  </si>
  <si>
    <t xml:space="preserve"> - Střední průmyslová škola stavební, Lipník nad Bečvou, Komenského sady 257 - stavební a dispoziční úpravy internátu školy</t>
  </si>
  <si>
    <t xml:space="preserve"> - Střední škola elektrotechnická, Lipník nad Bečvou, Bratrská 1114 -Elektroinstalace domova mládeže </t>
  </si>
  <si>
    <t xml:space="preserve"> - Střední průmyslová škola oděvní, Prostějov, Vápenice 1 -Domov mládeže Palečkova 1, Prostějov - stavební úpravy školy</t>
  </si>
  <si>
    <t xml:space="preserve"> - Střední odborná škola a Střední odborné učiliště, Uničov, Moravské nám. 681 -Dílny pro praktickou výuku</t>
  </si>
  <si>
    <t xml:space="preserve"> - Dětský domov a Školní jídelna, Olomouc, U Sportovní haly 1a - kuchyňský blok</t>
  </si>
  <si>
    <t xml:space="preserve"> - Střední škola zemědělská, Přerov, Osmek 47 - horkovodní přípojka</t>
  </si>
  <si>
    <t xml:space="preserve"> - Gymnázium, Jeseník, Komenského 281 -  výdejna stravy</t>
  </si>
  <si>
    <t xml:space="preserve"> - Základní škola a Mateřská škola logopedická Olomouc - propojovací teplovody</t>
  </si>
  <si>
    <t xml:space="preserve"> - Střední průmyslová škola Hranice - výtah na domově mládeže</t>
  </si>
  <si>
    <t xml:space="preserve"> - Gymnázium, Šternberk, Horní náměstí 5 - výměna kotlů</t>
  </si>
  <si>
    <t xml:space="preserve"> - Střední škola, Olomouc-Svatý Kopeček, Křičkova 4 - Oplocení areálu školy</t>
  </si>
  <si>
    <t xml:space="preserve"> - Střední škola technická a obchodní, Olomouc, Kosinova 4 - Dlažba na chodbách školy</t>
  </si>
  <si>
    <t xml:space="preserve"> - Střední zdravotnická škola a Vyšší odborná škola zdravotnická Emanuela Pöttinga, Olomouc, Pöttingova 2 - výměna oken na Domově mládeže a budově školy</t>
  </si>
  <si>
    <t xml:space="preserve"> - Střední zdravotnická škola a Vyšší odborná škola zdravotnická Emanuela Pöttinga, Olomouc, Pöttingova 2 - oprava střechy na objektu C</t>
  </si>
  <si>
    <t xml:space="preserve"> - Základní umělecká škola  Iši Krejčího Olomouc, Na Vozovce 32 - střecha na detašovaném pracovišti Jílová 43 A</t>
  </si>
  <si>
    <t xml:space="preserve"> - Střední zdravotnická škola, Hranice, Studentská 1095 - výměna oken</t>
  </si>
  <si>
    <t xml:space="preserve"> - Střední lesnická škola, Hranice, Jurikova 588 - kanalizace a rozvody vody na domově mládeže Teplická</t>
  </si>
  <si>
    <t xml:space="preserve"> - Obchodní akademie, Prostějov, Palackého 18 - odstranění a stavba zdi</t>
  </si>
  <si>
    <t xml:space="preserve"> - Střední škola železniční a stavební, Šumperk, Bulharská 8 - podlaha v tělocvičně</t>
  </si>
  <si>
    <t xml:space="preserve"> - Střední škola zemědělská Šumperk - kotelna na domově mládeže II.etapa</t>
  </si>
  <si>
    <t xml:space="preserve"> - Střední škola, Základní škola a Mateřská škola Šumperk, Hanácká 3 - plochá střecha</t>
  </si>
  <si>
    <t xml:space="preserve"> - Střední odborná škola, Šumperk, Zemědělská 3 - výměna oken</t>
  </si>
  <si>
    <t xml:space="preserve"> - Střední odborná škola a Střední odborné učiliště, Šumperk, Gen. Krátkého 30 - výměna kotlů</t>
  </si>
  <si>
    <t xml:space="preserve"> - Střední odborná škola gastronomie a potravinářství, Jeseník, U Jatek 8 - podlaha v tělocvičně</t>
  </si>
  <si>
    <t xml:space="preserve"> - Základní škola Jeseník, Fučíkova 312 - výměna střešní krytiny</t>
  </si>
  <si>
    <t xml:space="preserve"> - Hotelová škola Vincenze Priessnitze, Jeseník, Dukelská 680 - výměna střešní krytiny</t>
  </si>
  <si>
    <t>100627</t>
  </si>
  <si>
    <t>100628</t>
  </si>
  <si>
    <t>100629</t>
  </si>
  <si>
    <t>100630</t>
  </si>
  <si>
    <t>100656</t>
  </si>
  <si>
    <t>100681</t>
  </si>
  <si>
    <t>100682</t>
  </si>
  <si>
    <t>100683</t>
  </si>
  <si>
    <t>100684</t>
  </si>
  <si>
    <t>100690</t>
  </si>
  <si>
    <t xml:space="preserve"> - Domov Sněženka Jeseník - odvlhčení zdiva suterénu budovy         </t>
  </si>
  <si>
    <t xml:space="preserve"> - Domov Sněženka Jeseník - nátěry a venkovní  terasy </t>
  </si>
  <si>
    <t xml:space="preserve"> - Sociální služby pro seniory Olomouc - výměna oken na ul. Rooseveltova</t>
  </si>
  <si>
    <t xml:space="preserve"> - Domov Sněženka Jeseník - osobní výtah neprůchozí (lůžkový)</t>
  </si>
  <si>
    <t xml:space="preserve"> - Nový pavilon areálu Domov seniorů Pohoda, Olomouc - Chválkovice,</t>
  </si>
  <si>
    <t xml:space="preserve"> - Domov důchodců Hrubá Voda - Přístavba lůžkového výtahu v budově žen</t>
  </si>
  <si>
    <t xml:space="preserve"> - Domov důchodců Štíty - Rekonstrukce a modernizace plynové kotelny</t>
  </si>
  <si>
    <t xml:space="preserve"> - Domov pro seniory Tovačov - Střecha a půdní vestavba</t>
  </si>
  <si>
    <t xml:space="preserve"> - Nové Zámky - poskytovatel sociálních služeb - přestavba kotelny</t>
  </si>
  <si>
    <t xml:space="preserve"> - Domov "Na Zámku" Nezamyslice - sanace vlhkého zdiva</t>
  </si>
  <si>
    <t xml:space="preserve"> - rezerva</t>
  </si>
  <si>
    <t>100089</t>
  </si>
  <si>
    <t xml:space="preserve"> - Domov pro seniory Javorník - Průmyslová  pračka</t>
  </si>
  <si>
    <t xml:space="preserve"> - Domov pro seniory Javorník - Osobní automobil </t>
  </si>
  <si>
    <t xml:space="preserve"> - Domov důchodců Kobylá nad Vidnavkou - Strojové vybavení prádelny</t>
  </si>
  <si>
    <t xml:space="preserve"> - Ústav sociální péče o mládež Jeseník - Pořízení průmyslové pračky 13 kg</t>
  </si>
  <si>
    <t xml:space="preserve"> - Domov důchodců Červenka - Varný kotel - kuchyně</t>
  </si>
  <si>
    <t xml:space="preserve"> - Domov důchodců Červenka - Pojízdná koupací vana</t>
  </si>
  <si>
    <t xml:space="preserve"> - Dům seniorů FRANTIŠEK Náměšť na Hané - Obnova zařízení umývárny v kuchyni</t>
  </si>
  <si>
    <t xml:space="preserve"> - Domov důchodců Hrubá Voda - Malotraktor</t>
  </si>
  <si>
    <t xml:space="preserve"> - Domov seniorů POHODA Chválkovice - Sušička na prádlo</t>
  </si>
  <si>
    <t xml:space="preserve"> - Sociální služby pro seniory Olomouc - Univerzální kuchyňský robot 2 ks</t>
  </si>
  <si>
    <t xml:space="preserve"> - Sociální služby pro seniory Olomouc - Smažící pánev 2 ks v CK</t>
  </si>
  <si>
    <t xml:space="preserve"> - Sociální služby pro seniory Olomouc - Prokládací pračky na inkontinentní prádlo </t>
  </si>
  <si>
    <t xml:space="preserve"> - Domov důchodců Šumperk - Osobní automobil-transporter</t>
  </si>
  <si>
    <t xml:space="preserve"> - Nové zámky - poskytovatel sociálních služeb - Automobil</t>
  </si>
  <si>
    <t xml:space="preserve"> - Nové zámky - poskytovatel sociálních služeb - Myčka do stravovacího provozu</t>
  </si>
  <si>
    <t xml:space="preserve"> - Nové zámky - poskytovatel sociálních služeb - Zubařské křeslo</t>
  </si>
  <si>
    <t xml:space="preserve"> - Klíč - centrum sociálních služebOsobní automobil</t>
  </si>
  <si>
    <t xml:space="preserve"> - Klíč - centrum sociálních služeb - Mkrobus pro přepravu klientů</t>
  </si>
  <si>
    <t xml:space="preserve"> - Vincentinum - poskytovatel sociálních služeb Šternberk - Osobní vozidlo pro víceúčelové využití</t>
  </si>
  <si>
    <t xml:space="preserve"> - Sociální služby pro seniory Olomouc - Osobní automobil</t>
  </si>
  <si>
    <t xml:space="preserve"> - Domov důchodců Šumperk - Rozšíření transportního a zvedacího stropního zařízení na ošetřovatelském oddělení</t>
  </si>
  <si>
    <t xml:space="preserve"> - Domov důchodců Šumperk - Zvýšení kapacity telefonní ústředny</t>
  </si>
  <si>
    <t xml:space="preserve"> - Domov důchodců Libina - Dodávka a montáž myčky NINJO podložních mís</t>
  </si>
  <si>
    <t xml:space="preserve"> - Domov důchodců Libina - Dodávka pračky</t>
  </si>
  <si>
    <t xml:space="preserve"> - Penzion pro důchodce Loštice - Strojní investice-nákup automatické pračky</t>
  </si>
  <si>
    <t xml:space="preserve"> - Domov Paprsek Olšany - Pračka</t>
  </si>
  <si>
    <t xml:space="preserve"> - Domov důchodců Prostějov - Stropní zvedací a přepravní systém ROOMER na ošetřovatelské oddělení</t>
  </si>
  <si>
    <t xml:space="preserve"> - Domov důchodců Prostějov - Osobní víceúčelové vozidlo</t>
  </si>
  <si>
    <t xml:space="preserve"> - Domov důchodců Prostějov - Myčka na tabletový systém</t>
  </si>
  <si>
    <t xml:space="preserve"> - Domov důchodců Jesenec - Mikrobus</t>
  </si>
  <si>
    <t xml:space="preserve"> - Domov "Na zámku" - vysokootáčková pračka do prádelny</t>
  </si>
  <si>
    <t xml:space="preserve"> - Centrum sociálních služeb Prostějov - Automobil na rozvoz stravy</t>
  </si>
  <si>
    <t xml:space="preserve"> - Domov pro seniory Radkova Lhota - Varný kotel 80 l</t>
  </si>
  <si>
    <t xml:space="preserve"> - Domov pro seniory Radkova Lhota - Vana CAMBRIGE </t>
  </si>
  <si>
    <t xml:space="preserve"> - Domov pro seniory Radkova Lhota - Myčka nádobí</t>
  </si>
  <si>
    <t xml:space="preserve"> - Domov pro seniory Radkova Lhota - Myčka podložních mís</t>
  </si>
  <si>
    <t xml:space="preserve"> - Domov Alfreda Skeneho Pavlovice u Přerova - Hnětací stroj - kuchyně</t>
  </si>
  <si>
    <t xml:space="preserve"> - Domov Alfreda Skeneho Pavlovice u Přerova - Konvektomat - kuchyně</t>
  </si>
  <si>
    <t xml:space="preserve"> - Domov Alfreda Skeneho Pavlovice u Přerova - Elektrická trouba trojdílná - kuchyně</t>
  </si>
  <si>
    <t xml:space="preserve"> - Domov Alfreda Skeneho Pavlovice u Přerova - Žehlící lis - napařovací - prádelna</t>
  </si>
  <si>
    <t xml:space="preserve"> - Domov Alfreda Skeneho Pavlovice u Přerova - Sušička - prádelna- 17kg</t>
  </si>
  <si>
    <t xml:space="preserve"> - Domov Alfreda Skeneho Pavlovice u Přerova - Osobní automobil</t>
  </si>
  <si>
    <t xml:space="preserve"> - Domov pro seniory Tovačov - Obnova strojního zařízení prádelny</t>
  </si>
  <si>
    <t xml:space="preserve"> - Domov pro seniory Tovačov - Osobní užitkový automobil</t>
  </si>
  <si>
    <t xml:space="preserve"> - Domov Větrný mlýn Skalička - Konvektomat</t>
  </si>
  <si>
    <t xml:space="preserve"> - Domov Větrný mlýn Skalička - Průmyslová pračka</t>
  </si>
  <si>
    <t xml:space="preserve"> - Centrm Dominika Kokory - Automobil pro přepravu cca 10 osob</t>
  </si>
  <si>
    <t xml:space="preserve"> - Domov ADAM Dřevohostice - Pračka cca 20 kg</t>
  </si>
  <si>
    <t xml:space="preserve"> - Domov ADAM Dřevohostice - Osobní automobil</t>
  </si>
  <si>
    <t xml:space="preserve"> - Domov ADAM Dřevohostice - Kuchyňský kotel</t>
  </si>
  <si>
    <t xml:space="preserve"> - Domov ADAM Dřevohostice - Vybavení cvičných kuchyněk 2</t>
  </si>
  <si>
    <t xml:space="preserve"> - Domov na zámečku Rokytnice - Myčka nádobí</t>
  </si>
  <si>
    <t xml:space="preserve"> - Domov na zámečku Rokytnice - Nákup průmyslové pračky</t>
  </si>
  <si>
    <t xml:space="preserve"> - Brodek u Prostějova - okružní křižovatka</t>
  </si>
  <si>
    <t xml:space="preserve"> - Velký Týnec - průtah</t>
  </si>
  <si>
    <t xml:space="preserve"> - Bernartice - Buková - opěrné zdi</t>
  </si>
  <si>
    <t xml:space="preserve"> - Mohelnice - křížení s železniční tratí</t>
  </si>
  <si>
    <t xml:space="preserve"> - Šumperk - okružní křižovatka</t>
  </si>
  <si>
    <t xml:space="preserve"> - Jižní – Zolova (u ZŠ) – parkoviště, chodník, přechod </t>
  </si>
  <si>
    <t xml:space="preserve"> - II/369 Hanušovice - křižovatka I/11</t>
  </si>
  <si>
    <t xml:space="preserve"> - III/37354, III/36618 Horní Štěpánov</t>
  </si>
  <si>
    <t xml:space="preserve"> - II/449 Senice - průtah</t>
  </si>
  <si>
    <t xml:space="preserve"> - III/44029 Drahotuše - průtah</t>
  </si>
  <si>
    <t xml:space="preserve"> - III/37354 Holubice - Hrochov</t>
  </si>
  <si>
    <t xml:space="preserve"> - III/36719 Pivín - rekonstrukce silnice</t>
  </si>
  <si>
    <t xml:space="preserve"> - III/4359, III4353 Velký Týnec - rekonstrukce silnice, IV. Etapa</t>
  </si>
  <si>
    <t xml:space="preserve"> - II /435 Dub - Tovačov, stavební úpravy </t>
  </si>
  <si>
    <t>b/ akce zajišťované Správou silnic Olomouckého kraje (ORG 1600)</t>
  </si>
  <si>
    <t xml:space="preserve"> - III/43716 - Pavlovice - Hradčany</t>
  </si>
  <si>
    <t xml:space="preserve"> - II/440 Hranice - průtah</t>
  </si>
  <si>
    <t xml:space="preserve"> - III/31234 Písařov - průtah</t>
  </si>
  <si>
    <t xml:space="preserve"> - nákup 2 ks sypačů</t>
  </si>
  <si>
    <t xml:space="preserve"> - II/449 a II/635 Unčovice</t>
  </si>
  <si>
    <t xml:space="preserve"> - II/36635 Služín - Čechy pod Kosířem</t>
  </si>
  <si>
    <t xml:space="preserve"> - Muzeum Prostějovska v Prostějově - historická expozice</t>
  </si>
  <si>
    <t xml:space="preserve"> - Muzeum Prostějovska v Prostějově - archeologická expozice</t>
  </si>
  <si>
    <t xml:space="preserve"> - Muzeum Komenského v Přerově - stavební úpravy depozitáře knihovny v budově Horní nám.č.35, Přerov</t>
  </si>
  <si>
    <t xml:space="preserve"> - Vědecká knihovna v Olomouci - rekonstrukce skladu Neředín - I.etapa</t>
  </si>
  <si>
    <t xml:space="preserve"> - Vlastivědné muzeum v Olomouci - Arboretum Bílá Lhota - rekonstrukce sociálního zařízení </t>
  </si>
  <si>
    <t xml:space="preserve"> - Vlastivědné muzeum Jesenicka - statické zabezpečení vodní tvrze</t>
  </si>
  <si>
    <t xml:space="preserve"> - Vlastivědné muzeum Jesenicka - posilující přípojka elektroinstalace pro venkovní akce</t>
  </si>
  <si>
    <t xml:space="preserve"> - Vlastivědné muzeum Jesenicka - nástřik střechy </t>
  </si>
  <si>
    <t xml:space="preserve"> - Muzeum Komenského v Přerově - elektrická zabezpečovací signalizace do budovy Horní nám. č.35, Přerov</t>
  </si>
  <si>
    <t xml:space="preserve"> - Muzeum Komenského v Přerově - výměna a zateplení střešního pláště budovy Horní nám.č.21, Přerov</t>
  </si>
  <si>
    <t xml:space="preserve"> - Vědecká knihovna v Olomouci - rekonstrukce interiéru hlavní budovy </t>
  </si>
  <si>
    <t xml:space="preserve"> - Muzeum Komenského v Přerově - rekonstrukce budovy Horní náměstí 7, Přerov</t>
  </si>
  <si>
    <t xml:space="preserve"> - Vlastivědné muzeum v Olomouci - Interiér nového vstupu hlavní budovy</t>
  </si>
  <si>
    <t xml:space="preserve"> - Vlastivědné muzeum v Olomouci - Letní reflektář Klášterní Hradisko</t>
  </si>
  <si>
    <t xml:space="preserve"> - Vědecká knihovna v Olomouci - Nákup dodávkového automobilu</t>
  </si>
  <si>
    <t xml:space="preserve"> - Vlastivědné muzeum v Olomouci - Zahradní technika - Čechy pod Kosířem</t>
  </si>
  <si>
    <t xml:space="preserve"> - Vlastivědné muzeum v Olomouci - Dovybavení Václavkova sálu</t>
  </si>
  <si>
    <t xml:space="preserve"> - Vlastivědné muzeum Jesenicka - Ozvučení expozice biologie</t>
  </si>
  <si>
    <t xml:space="preserve"> - Vlastivědné muzeum Jesenicka - Makroskop s makrostativem </t>
  </si>
  <si>
    <t xml:space="preserve"> - Vlastivědné muzeum Jesenicka - Výstavní inventář </t>
  </si>
  <si>
    <t xml:space="preserve"> - Muzeum Prostějovska v Prostějově - Závěsný systém ve výstavních sálech</t>
  </si>
  <si>
    <t xml:space="preserve"> - Muzeum Prostějovska v Prostějově - Systém výstavních stěn</t>
  </si>
  <si>
    <t xml:space="preserve"> - Muzeum Prostějovska v Prostějově - Výstavní nábytek - vitríny</t>
  </si>
  <si>
    <t xml:space="preserve"> - Muzeum Komenského v Přerově - Vybavení depozitáře - skladové regály</t>
  </si>
  <si>
    <t xml:space="preserve"> - Muzeum Komenského v Přerově - Osobní vozidlo</t>
  </si>
  <si>
    <t xml:space="preserve"> - Vlastivědné muzeum v Šumperku - Stavebnicový systém policových regálů</t>
  </si>
  <si>
    <t xml:space="preserve"> - Archeologické centrum Olomouc - Terénní automobil</t>
  </si>
  <si>
    <t xml:space="preserve"> - Střední   odborná   škola   a   střední     odborné učiliště, gen. Krátkého 30, Šumperk</t>
  </si>
  <si>
    <t xml:space="preserve"> - Obchodní akademie, Palackého 18, Prostějov</t>
  </si>
  <si>
    <t xml:space="preserve"> - Střední zdravotnická škola a vyšší odborná škola zdravotnická Emanuela Pöttinga, Pöttingova 2, Olomouc</t>
  </si>
  <si>
    <t xml:space="preserve"> - Střední zdravotnická škola, Kladská 2, Šumperk</t>
  </si>
  <si>
    <t xml:space="preserve"> - OLÚ neurologicko-geriatrický Moravský Beroun - vybudování půdní vestavby pavilonu 2 </t>
  </si>
  <si>
    <t xml:space="preserve"> - OLÚ neurologicko-geriatrický Moravský Beroun - výtah do zadního schodiště pavilonu 2</t>
  </si>
  <si>
    <t xml:space="preserve"> - OLÚ neurologicko-geriatrický Moravský Beroun - úpravy ploch kolem pavilonu 2</t>
  </si>
  <si>
    <t xml:space="preserve"> - OLÚ neurologicko-geriatrický Moravský Beroun - výtah v pavilonu 1</t>
  </si>
  <si>
    <t xml:space="preserve"> - OLÚ neurologicko-geriatrický Moravský Beroun - rekonstrukce a dostavba oddělení rehabilitace </t>
  </si>
  <si>
    <t xml:space="preserve"> - OLÚ Paseka - Centrální jídelna a rozšíření prádelny </t>
  </si>
  <si>
    <t xml:space="preserve"> - SMN a.s. - o.z.Nemocnice Prostějov - Rekonstrukce oddělení ORL</t>
  </si>
  <si>
    <t xml:space="preserve"> - SMN.a.s. - o.z.Nemocnice Přerov - Stavební úpravy přípravny radiofarmak na oddělení ONM</t>
  </si>
  <si>
    <t xml:space="preserve"> - SMN a.s. - o.z.Nemocnice Přerov - Rekonstrukce oddělení urologie</t>
  </si>
  <si>
    <t xml:space="preserve"> - SMN a.s. - o.z. Nemocnice Přerov - zřízení jednotky dlouhodobé intenzivní péče</t>
  </si>
  <si>
    <t xml:space="preserve"> - SMN a.s. - o.z. Nemocnice Šternberk - rekonstrukce JIP dětského oddělení</t>
  </si>
  <si>
    <t xml:space="preserve"> - Odborný léčebný ústav Paseka - Polohovací postele Latera 20 ks</t>
  </si>
  <si>
    <t xml:space="preserve"> - Odborný léčebný ústav neurologicko-geriatrický Moravský Beroun - Myčka jídelních tabletů</t>
  </si>
  <si>
    <t xml:space="preserve"> - Zdravotnická záchranná služba OK - Sanitní vozidla</t>
  </si>
  <si>
    <t xml:space="preserve"> - umělecká díla</t>
  </si>
  <si>
    <t xml:space="preserve"> - Digitalizace Olomouc region Card</t>
  </si>
  <si>
    <t xml:space="preserve"> - vybudování rezervačního systému</t>
  </si>
  <si>
    <t>60004100567</t>
  </si>
  <si>
    <t>odbor zdravotnictví</t>
  </si>
  <si>
    <t xml:space="preserve"> - nákup podílu SMN a.s.</t>
  </si>
  <si>
    <t xml:space="preserve"> - server</t>
  </si>
  <si>
    <t xml:space="preserve"> - operační systémy a programové vybavení</t>
  </si>
  <si>
    <t xml:space="preserve"> - výkup pozemků a budovy ZŠ Uničov</t>
  </si>
  <si>
    <t>a) akce zajišťované odborem majetkovým a právním - účelová dotace z MF ČR</t>
  </si>
  <si>
    <t xml:space="preserve"> - výkup pozemků </t>
  </si>
  <si>
    <t xml:space="preserve">UZ </t>
  </si>
  <si>
    <t xml:space="preserve"> - nosič kontejnerů s nakládacím jeřábem pro HZS OK</t>
  </si>
  <si>
    <t xml:space="preserve"> - přenosné stříkačky pro SH ČMS Okresním sdružením OK</t>
  </si>
  <si>
    <t xml:space="preserve"> - velkoformátová tiskárna, topící agregát, záchranný nafukovací stan, 3xdatový projektor, interaktivní panel pro Krajské ředitelství Policie ČR</t>
  </si>
  <si>
    <t xml:space="preserve"> - Muzeum Komenského v Přerově - Elektrická zabezpečovací signalizace</t>
  </si>
  <si>
    <t xml:space="preserve"> - Vlastivědné muzeum v Olomouci - nákup židlí</t>
  </si>
  <si>
    <t xml:space="preserve"> - Vědecká knihovna v Olomouci - dovybavení interiéru</t>
  </si>
  <si>
    <t xml:space="preserve"> - Vlastivědné muzeum Jesenicka - mp3 přehrávače do expozic</t>
  </si>
  <si>
    <t xml:space="preserve"> - Vlastivědné muzeum Jesenicka - nástřik střechy</t>
  </si>
  <si>
    <t xml:space="preserve"> - Archeologické centrum Olomouc - detektory kovů v archeologii</t>
  </si>
  <si>
    <t>53190877+52515835</t>
  </si>
  <si>
    <t>UZ</t>
  </si>
  <si>
    <t>2. Oblast dopravy</t>
  </si>
  <si>
    <t xml:space="preserve"> - výkup pozemků - dotace MF</t>
  </si>
  <si>
    <t xml:space="preserve"> - Střední škola zemědělská U Hadiska 4, Olomouc - rekonstrukce kotelny</t>
  </si>
  <si>
    <t>UZ 24</t>
  </si>
  <si>
    <t xml:space="preserve"> - Most ev.č. 438-001 - Teplice nad Bečvou</t>
  </si>
  <si>
    <t xml:space="preserve"> - Most ev. č.43911-5 Hustopeče nad Bečvou</t>
  </si>
  <si>
    <t xml:space="preserve"> - Brána poznání otevřena - údržba majetku</t>
  </si>
  <si>
    <t xml:space="preserve"> - Čechy pod Kosířem, využití areálu zámku a parku</t>
  </si>
  <si>
    <t xml:space="preserve"> - Heliport Kojetín</t>
  </si>
  <si>
    <t>UZ 9 a UZ 0</t>
  </si>
  <si>
    <t xml:space="preserve"> - Konice - novostavba stanice HZS - příspěvek Konice ve výši 40%</t>
  </si>
  <si>
    <t xml:space="preserve">Oblast cestovního ruchu celkem </t>
  </si>
  <si>
    <t>8. Investiční výdaje odborů</t>
  </si>
  <si>
    <t>7. Oblast cestovního ruchu</t>
  </si>
  <si>
    <t xml:space="preserve"> - oblast cestovního ruchu</t>
  </si>
  <si>
    <t>UZ 0, ORJ 17</t>
  </si>
  <si>
    <t>ORJ 59, UZ 0</t>
  </si>
  <si>
    <t>100324</t>
  </si>
  <si>
    <t>100325</t>
  </si>
  <si>
    <t>100336</t>
  </si>
  <si>
    <t>ORJ 59, UZ0</t>
  </si>
  <si>
    <t>100530</t>
  </si>
  <si>
    <t xml:space="preserve"> - Domov Na zámečku Rokytnice - rekonstrukce zámeckého parku a jeho zpřístupnění veřejnosti</t>
  </si>
  <si>
    <t xml:space="preserve"> - Domov Větrný mlýn Skalička - revitalizace zámeckého parku</t>
  </si>
  <si>
    <t xml:space="preserve"> - Revitalizace zámeckého parku s přilehlými plochami v Nových Zámcích</t>
  </si>
  <si>
    <t xml:space="preserve"> - Rekonstrukce zahrady v Domově důchodců Červenka</t>
  </si>
  <si>
    <t xml:space="preserve"> - Čechy pod Kosířem, revitalizace parku</t>
  </si>
  <si>
    <t xml:space="preserve"> - Značení kulturních a turistických cílů v Olomouckém kraji II</t>
  </si>
  <si>
    <t xml:space="preserve"> - Marketingové aktivity Olomouckého kraje</t>
  </si>
  <si>
    <t>ORJ 30</t>
  </si>
  <si>
    <t xml:space="preserve"> - Integrace handicapovaných dětí do vytipovaných škol a školských zařízení v Olomouckém kraji</t>
  </si>
  <si>
    <t xml:space="preserve"> - Energeticky úsporná opatření - Obchodní akademie Mohelnice</t>
  </si>
  <si>
    <t xml:space="preserve"> - Energeticky úsporná opatření - SŠ polygrafická Olomouc</t>
  </si>
  <si>
    <t xml:space="preserve"> - Realizace energeticky úsporných opatření - SOŠ a SOU Jeseník</t>
  </si>
  <si>
    <t xml:space="preserve"> - Realizace energeticky úsporných opatření - SPŠ strojnická Olomouc</t>
  </si>
  <si>
    <t xml:space="preserve"> - Realizace energeticky úsporných opatření - Gymnázium J. Wolkera Prostějov</t>
  </si>
  <si>
    <t xml:space="preserve"> - Realizace energeticky úsporných opatření - ZŠ Vlčice</t>
  </si>
  <si>
    <t xml:space="preserve"> - Realizace energeticky úsporných opatření - SOU obchodní Prostějov</t>
  </si>
  <si>
    <t xml:space="preserve"> - Realizace energeticky úsporných opatření - VOŠ a SŠ automobilní Zábřeh</t>
  </si>
  <si>
    <t xml:space="preserve"> - Realizace energeticky úsporných opatření - SŠ zemědělská Olomouc domov mládeže</t>
  </si>
  <si>
    <t xml:space="preserve"> - Realizace energeticky úsporných opatření - ZŠ a MŠ logopedická Olomouc</t>
  </si>
  <si>
    <t xml:space="preserve"> - Centrum vzdělávání na SPŠ strojnické Olomouc</t>
  </si>
  <si>
    <t xml:space="preserve"> - Rekonstrukce dílen Střední školy železniční a stavební, Šumperk, Bulharská 8</t>
  </si>
  <si>
    <t>100123</t>
  </si>
  <si>
    <t>100326</t>
  </si>
  <si>
    <t>100331</t>
  </si>
  <si>
    <t>100441</t>
  </si>
  <si>
    <t>100460</t>
  </si>
  <si>
    <t>100470</t>
  </si>
  <si>
    <t>100687</t>
  </si>
  <si>
    <t>100695</t>
  </si>
  <si>
    <t xml:space="preserve"> - Bedihošť - průtah, I. a II. etapa</t>
  </si>
  <si>
    <t xml:space="preserve"> - II/366 Kostelec na Hané - průtah (IV. Etapa)</t>
  </si>
  <si>
    <t xml:space="preserve"> - Krajský standardizovaný projekt ZZS Olomouckého kraje </t>
  </si>
  <si>
    <t xml:space="preserve"> - Revitalizace území areálu staré nemocnice v Prostějově</t>
  </si>
  <si>
    <t xml:space="preserve"> - OLÚ neurologicko-geriatrický Moravský Beroun - Modernizace lůžkového fondu </t>
  </si>
  <si>
    <t xml:space="preserve"> - Realizace energeticky úsporných opatření - Nemocnice Přerov - chirurgie</t>
  </si>
  <si>
    <t xml:space="preserve"> - SMN a.s. - o.z. Nemocnice Přerov - modernizace pavilonu interních oborů - I. etapa </t>
  </si>
  <si>
    <t xml:space="preserve"> - Realizace energeticky úsporných opatření - SMN a.s. - o.z. Nemocnice Přerov-pavilon interních oborů</t>
  </si>
  <si>
    <t xml:space="preserve"> - Realizace energeticky úsporných opatření - SMN a.s. - o.z. Nemocnice Přerov - LDN</t>
  </si>
  <si>
    <t xml:space="preserve"> - Realizace energeticky úsporných opatření - SMN a.s. - o.z. Nemocnice Šternberk -pavilon pro dlouhodobě nemocné</t>
  </si>
  <si>
    <t xml:space="preserve"> - Realizace energeticky úsporných opatření - SMN a.s. - o.z. Nemocnice Šternberk -interna</t>
  </si>
  <si>
    <t xml:space="preserve"> - Přestavba dětského domova SZPD Olomouc na zařízení rodinného typu</t>
  </si>
  <si>
    <t xml:space="preserve"> - SMN a.s. - o.z. Nemocnice Přerov - modernizace pavilonu operačních oborů - I. etapa</t>
  </si>
  <si>
    <t>UZ 18</t>
  </si>
  <si>
    <t xml:space="preserve"> - Odborný léčebný ústav Paseka - centrální jídelna pacientů a rozšíření prádelny</t>
  </si>
  <si>
    <t xml:space="preserve"> - Odborný léčebný ústav Paseka - příprava projektů "Rekonstrukce s přístavbou a nadstavbou budovy A" a "Rekonstrukce budovy C I. etapa - 3.a 4.  NP - TRN"</t>
  </si>
  <si>
    <t xml:space="preserve"> - Odborný léčebný ústav Paseka - čistička odpadních vod</t>
  </si>
  <si>
    <t xml:space="preserve"> - Odborný léčebný ústav neurologicko-geriatrický Moravský Beroun - rekonstrukce elektrorozvodů</t>
  </si>
  <si>
    <t xml:space="preserve"> - Zdravotnická záchranná služba OK - kontejner pro heliport Jeseník</t>
  </si>
  <si>
    <t>ORJ 14, UZ 14</t>
  </si>
  <si>
    <t>ORJ 14, UZ 24</t>
  </si>
  <si>
    <t xml:space="preserve"> - Zdravotnická záchranná služba OK - 2 přívěsné vozíky</t>
  </si>
  <si>
    <t xml:space="preserve"> - výkup pozemků - doprava</t>
  </si>
  <si>
    <t xml:space="preserve"> - výkup pozemků - školství</t>
  </si>
  <si>
    <t>ORJ 17</t>
  </si>
  <si>
    <t>ORJ 50</t>
  </si>
  <si>
    <t xml:space="preserve"> - II/457 Travná - rekonstrukce mostů 457-02, 03, 04 </t>
  </si>
  <si>
    <t xml:space="preserve"> - Centrum sociálních služeb Prostějov - rekonstrukce pavilonu - zřízení residenčního zařízení pro chronicky nemocné Alzeheimerovou chorobou</t>
  </si>
  <si>
    <t xml:space="preserve"> - Sociální služby pro seniory Olomouc - nadstavba stávající budovy (změna názvu 14. 4. 2010)</t>
  </si>
  <si>
    <t xml:space="preserve"> - Transformace Vincentina Šternberk</t>
  </si>
  <si>
    <t xml:space="preserve"> - Realizace energeticky úsporných opatření - Domov důchodců Hrubá Voda</t>
  </si>
  <si>
    <t xml:space="preserve"> - Realizace energeticky úsporných opatření - Sociální služby pro seniory Olomouc - ubytovací část</t>
  </si>
  <si>
    <t xml:space="preserve"> - Domov důchodců Štíty - solární panely pro ohřev TUV</t>
  </si>
  <si>
    <t xml:space="preserve"> - Realizace energeticky úsporných opatření - Středisko sociální prevence Olomouc, budova Žilinská</t>
  </si>
  <si>
    <t>bez výdajů na školství, dopravu, kriz. Řízení, cest. Ruch a zdravotnictví</t>
  </si>
  <si>
    <t>Příjmy</t>
  </si>
  <si>
    <t>odvody - ORJ 12</t>
  </si>
  <si>
    <t>odvody - ORJ 13</t>
  </si>
  <si>
    <t>odvody - ORJ 10</t>
  </si>
  <si>
    <t>Výdaje</t>
  </si>
  <si>
    <t>celkem výdaje</t>
  </si>
  <si>
    <t>výdaje odborů</t>
  </si>
  <si>
    <t xml:space="preserve"> - Domov seniorů POHODA Chválkovice - elektrická přípojka</t>
  </si>
  <si>
    <t>ORJ 10, UZ 886</t>
  </si>
  <si>
    <t>ORJ 14, UZ 870</t>
  </si>
  <si>
    <t>ORJ 12, UZ 870</t>
  </si>
  <si>
    <t>ORJ 11, UZ 886</t>
  </si>
  <si>
    <t>zůstatek BÚ - dle Pa V</t>
  </si>
  <si>
    <t>zůstatek BÚ - skutečnosti</t>
  </si>
  <si>
    <t>ORJ 17 zaplatilo 40000Kč z POU1011572 z UZ 12 z EIB</t>
  </si>
  <si>
    <t>zůstalo na ORJ 59</t>
  </si>
  <si>
    <t xml:space="preserve"> zůstalo na ORJ 50</t>
  </si>
  <si>
    <t>zapojit od rozpočtu 2012</t>
  </si>
  <si>
    <t>již zapojeno</t>
  </si>
  <si>
    <t>8115 -2012</t>
  </si>
  <si>
    <t>zapojeno</t>
  </si>
  <si>
    <t>jako RZ 18/12 ze dne 7.2.2012</t>
  </si>
  <si>
    <t>8. Investiční akce Olomouckého kraje 2011</t>
  </si>
  <si>
    <t>8. Investiční akce Olomouckého kraje</t>
  </si>
  <si>
    <t>8. Přehled financování investičních akcí v roce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</si>
</sst>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"/>
    <numFmt numFmtId="166" formatCode="#,##0.00_ ;\-#,##0.00\ "/>
  </numFmts>
  <fonts count="43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i/>
      <sz val="10"/>
      <name val="Arial"/>
      <family val="2"/>
      <charset val="238"/>
    </font>
    <font>
      <i/>
      <sz val="10"/>
      <name val="Arial CE"/>
      <family val="2"/>
      <charset val="238"/>
    </font>
    <font>
      <i/>
      <sz val="10"/>
      <name val="Arial"/>
      <family val="2"/>
      <charset val="238"/>
    </font>
    <font>
      <sz val="9"/>
      <name val="Arial CE"/>
      <family val="2"/>
      <charset val="238"/>
    </font>
    <font>
      <i/>
      <sz val="10"/>
      <name val="Arial CE"/>
      <charset val="238"/>
    </font>
    <font>
      <b/>
      <i/>
      <sz val="11"/>
      <name val="Arial"/>
      <family val="2"/>
      <charset val="238"/>
    </font>
    <font>
      <b/>
      <i/>
      <u/>
      <sz val="11"/>
      <name val="Arial"/>
      <family val="2"/>
      <charset val="238"/>
    </font>
    <font>
      <i/>
      <sz val="11"/>
      <name val="Arial"/>
      <family val="2"/>
      <charset val="238"/>
    </font>
    <font>
      <b/>
      <i/>
      <sz val="12"/>
      <name val="Arial"/>
      <family val="2"/>
      <charset val="238"/>
    </font>
    <font>
      <i/>
      <sz val="9"/>
      <name val="Arial"/>
      <family val="2"/>
      <charset val="238"/>
    </font>
    <font>
      <sz val="11"/>
      <name val="Arial"/>
      <family val="2"/>
      <charset val="238"/>
    </font>
    <font>
      <sz val="9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12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10"/>
      <name val="Arial"/>
      <family val="2"/>
      <charset val="238"/>
    </font>
    <font>
      <i/>
      <sz val="10"/>
      <color indexed="10"/>
      <name val="Arial"/>
      <family val="2"/>
      <charset val="238"/>
    </font>
    <font>
      <b/>
      <sz val="14"/>
      <color indexed="10"/>
      <name val="Arial"/>
      <family val="2"/>
      <charset val="238"/>
    </font>
    <font>
      <sz val="10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sz val="10"/>
      <color rgb="FFFFFF00"/>
      <name val="Arial"/>
      <family val="2"/>
      <charset val="238"/>
    </font>
    <font>
      <sz val="10"/>
      <color rgb="FFFFFF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4"/>
      <color rgb="FFFF0000"/>
      <name val="Arial"/>
      <family val="2"/>
      <charset val="238"/>
    </font>
    <font>
      <sz val="10"/>
      <color rgb="FF00B05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10"/>
      <color rgb="FF7030A0"/>
      <name val="Arial"/>
      <family val="2"/>
      <charset val="238"/>
    </font>
    <font>
      <b/>
      <i/>
      <sz val="10"/>
      <color rgb="FF7030A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0">
    <xf numFmtId="0" fontId="0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3" fillId="0" borderId="0"/>
    <xf numFmtId="0" fontId="1" fillId="0" borderId="0"/>
    <xf numFmtId="0" fontId="3" fillId="0" borderId="0"/>
  </cellStyleXfs>
  <cellXfs count="577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2" borderId="0" xfId="4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>
      <alignment horizontal="right" vertical="center" wrapText="1" indent="1"/>
    </xf>
    <xf numFmtId="4" fontId="8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" fontId="9" fillId="0" borderId="4" xfId="0" applyNumberFormat="1" applyFont="1" applyFill="1" applyBorder="1"/>
    <xf numFmtId="164" fontId="9" fillId="0" borderId="5" xfId="0" applyNumberFormat="1" applyFont="1" applyFill="1" applyBorder="1"/>
    <xf numFmtId="4" fontId="9" fillId="0" borderId="0" xfId="0" applyNumberFormat="1" applyFont="1" applyFill="1" applyBorder="1" applyAlignment="1">
      <alignment horizontal="right" vertical="center"/>
    </xf>
    <xf numFmtId="3" fontId="11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4" fontId="9" fillId="0" borderId="4" xfId="0" applyNumberFormat="1" applyFont="1" applyFill="1" applyBorder="1" applyAlignment="1">
      <alignment horizontal="right" vertical="center"/>
    </xf>
    <xf numFmtId="4" fontId="11" fillId="2" borderId="4" xfId="0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0" fontId="17" fillId="0" borderId="0" xfId="0" applyFont="1" applyFill="1" applyBorder="1"/>
    <xf numFmtId="3" fontId="17" fillId="0" borderId="0" xfId="0" applyNumberFormat="1" applyFont="1" applyFill="1" applyBorder="1"/>
    <xf numFmtId="0" fontId="17" fillId="0" borderId="0" xfId="0" applyFont="1" applyFill="1" applyBorder="1" applyAlignment="1">
      <alignment horizontal="left"/>
    </xf>
    <xf numFmtId="164" fontId="17" fillId="0" borderId="0" xfId="0" applyNumberFormat="1" applyFont="1" applyFill="1" applyBorder="1"/>
    <xf numFmtId="0" fontId="18" fillId="0" borderId="8" xfId="0" applyFont="1" applyFill="1" applyBorder="1" applyAlignment="1">
      <alignment horizontal="left"/>
    </xf>
    <xf numFmtId="4" fontId="15" fillId="0" borderId="8" xfId="0" applyNumberFormat="1" applyFont="1" applyFill="1" applyBorder="1"/>
    <xf numFmtId="164" fontId="15" fillId="0" borderId="8" xfId="0" applyNumberFormat="1" applyFont="1" applyFill="1" applyBorder="1"/>
    <xf numFmtId="4" fontId="12" fillId="0" borderId="9" xfId="0" applyNumberFormat="1" applyFont="1" applyFill="1" applyBorder="1" applyAlignment="1">
      <alignment horizontal="right" vertical="center" wrapText="1"/>
    </xf>
    <xf numFmtId="3" fontId="0" fillId="0" borderId="0" xfId="0" applyNumberFormat="1" applyFill="1"/>
    <xf numFmtId="0" fontId="0" fillId="0" borderId="0" xfId="0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9" fillId="0" borderId="0" xfId="0" applyFont="1" applyFill="1"/>
    <xf numFmtId="4" fontId="9" fillId="0" borderId="10" xfId="0" applyNumberFormat="1" applyFont="1" applyFill="1" applyBorder="1" applyAlignment="1">
      <alignment horizontal="right" vertical="center" wrapText="1"/>
    </xf>
    <xf numFmtId="164" fontId="9" fillId="0" borderId="11" xfId="0" applyNumberFormat="1" applyFont="1" applyFill="1" applyBorder="1"/>
    <xf numFmtId="0" fontId="0" fillId="3" borderId="0" xfId="0" applyFill="1"/>
    <xf numFmtId="0" fontId="19" fillId="0" borderId="12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13" xfId="0" applyFont="1" applyFill="1" applyBorder="1" applyAlignment="1">
      <alignment horizontal="left"/>
    </xf>
    <xf numFmtId="164" fontId="1" fillId="0" borderId="5" xfId="0" applyNumberFormat="1" applyFont="1" applyFill="1" applyBorder="1"/>
    <xf numFmtId="0" fontId="0" fillId="4" borderId="0" xfId="0" applyFill="1"/>
    <xf numFmtId="0" fontId="19" fillId="0" borderId="0" xfId="0" applyFont="1" applyFill="1" applyBorder="1" applyAlignment="1">
      <alignment horizontal="left" vertical="center"/>
    </xf>
    <xf numFmtId="0" fontId="19" fillId="0" borderId="13" xfId="0" applyFont="1" applyFill="1" applyBorder="1" applyAlignment="1">
      <alignment horizontal="left" vertical="center"/>
    </xf>
    <xf numFmtId="0" fontId="3" fillId="0" borderId="0" xfId="0" applyFont="1" applyFill="1"/>
    <xf numFmtId="0" fontId="9" fillId="0" borderId="14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/>
    </xf>
    <xf numFmtId="4" fontId="9" fillId="0" borderId="15" xfId="0" applyNumberFormat="1" applyFont="1" applyFill="1" applyBorder="1"/>
    <xf numFmtId="164" fontId="9" fillId="0" borderId="16" xfId="0" applyNumberFormat="1" applyFont="1" applyFill="1" applyBorder="1"/>
    <xf numFmtId="0" fontId="20" fillId="0" borderId="0" xfId="0" applyFont="1" applyFill="1"/>
    <xf numFmtId="4" fontId="12" fillId="0" borderId="4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left"/>
    </xf>
    <xf numFmtId="0" fontId="21" fillId="0" borderId="0" xfId="0" applyFont="1" applyFill="1"/>
    <xf numFmtId="0" fontId="9" fillId="0" borderId="0" xfId="0" applyFont="1" applyFill="1" applyBorder="1" applyAlignment="1">
      <alignment horizontal="left"/>
    </xf>
    <xf numFmtId="4" fontId="17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166" fontId="6" fillId="0" borderId="0" xfId="0" applyNumberFormat="1" applyFont="1" applyFill="1" applyBorder="1" applyAlignment="1">
      <alignment horizontal="right"/>
    </xf>
    <xf numFmtId="166" fontId="3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left"/>
    </xf>
    <xf numFmtId="4" fontId="1" fillId="0" borderId="0" xfId="0" applyNumberFormat="1" applyFont="1" applyFill="1"/>
    <xf numFmtId="4" fontId="0" fillId="2" borderId="0" xfId="0" applyNumberFormat="1" applyFill="1" applyBorder="1"/>
    <xf numFmtId="0" fontId="9" fillId="0" borderId="1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4" fontId="9" fillId="0" borderId="21" xfId="0" applyNumberFormat="1" applyFont="1" applyFill="1" applyBorder="1" applyAlignment="1">
      <alignment horizontal="right" vertical="center"/>
    </xf>
    <xf numFmtId="4" fontId="11" fillId="2" borderId="13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 wrapText="1"/>
    </xf>
    <xf numFmtId="4" fontId="10" fillId="0" borderId="4" xfId="0" applyNumberFormat="1" applyFont="1" applyFill="1" applyBorder="1" applyAlignment="1">
      <alignment horizontal="right" vertical="center" wrapText="1"/>
    </xf>
    <xf numFmtId="4" fontId="10" fillId="0" borderId="4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4" fontId="10" fillId="0" borderId="4" xfId="0" applyNumberFormat="1" applyFont="1" applyFill="1" applyBorder="1"/>
    <xf numFmtId="0" fontId="3" fillId="0" borderId="20" xfId="0" applyFont="1" applyFill="1" applyBorder="1"/>
    <xf numFmtId="0" fontId="3" fillId="0" borderId="19" xfId="0" applyFont="1" applyFill="1" applyBorder="1"/>
    <xf numFmtId="0" fontId="3" fillId="0" borderId="20" xfId="0" applyFont="1" applyBorder="1"/>
    <xf numFmtId="0" fontId="3" fillId="0" borderId="19" xfId="0" applyFont="1" applyBorder="1"/>
    <xf numFmtId="0" fontId="3" fillId="0" borderId="19" xfId="7" applyFont="1" applyFill="1" applyBorder="1" applyAlignment="1">
      <alignment horizontal="center" vertical="center"/>
    </xf>
    <xf numFmtId="0" fontId="3" fillId="2" borderId="23" xfId="4" applyNumberFormat="1" applyFont="1" applyFill="1" applyBorder="1" applyAlignment="1">
      <alignment horizontal="center" vertical="center" wrapText="1"/>
    </xf>
    <xf numFmtId="0" fontId="3" fillId="0" borderId="20" xfId="7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20" xfId="8" applyFont="1" applyFill="1" applyBorder="1" applyAlignment="1">
      <alignment horizontal="center" vertical="center"/>
    </xf>
    <xf numFmtId="0" fontId="3" fillId="0" borderId="19" xfId="8" applyFont="1" applyFill="1" applyBorder="1" applyAlignment="1">
      <alignment horizontal="center" vertical="center"/>
    </xf>
    <xf numFmtId="1" fontId="3" fillId="0" borderId="17" xfId="0" applyNumberFormat="1" applyFont="1" applyFill="1" applyBorder="1" applyAlignment="1">
      <alignment horizontal="center" vertical="center"/>
    </xf>
    <xf numFmtId="1" fontId="3" fillId="0" borderId="19" xfId="0" applyNumberFormat="1" applyFont="1" applyFill="1" applyBorder="1" applyAlignment="1">
      <alignment horizontal="center" vertical="center"/>
    </xf>
    <xf numFmtId="0" fontId="3" fillId="0" borderId="19" xfId="3" applyFont="1" applyFill="1" applyBorder="1" applyAlignment="1">
      <alignment horizontal="center" vertical="center" wrapText="1"/>
    </xf>
    <xf numFmtId="0" fontId="3" fillId="0" borderId="19" xfId="3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4" fontId="10" fillId="0" borderId="13" xfId="0" applyNumberFormat="1" applyFont="1" applyFill="1" applyBorder="1" applyAlignment="1">
      <alignment horizontal="right" vertical="center"/>
    </xf>
    <xf numFmtId="4" fontId="14" fillId="2" borderId="4" xfId="0" applyNumberFormat="1" applyFont="1" applyFill="1" applyBorder="1" applyAlignment="1">
      <alignment horizontal="right" vertical="center"/>
    </xf>
    <xf numFmtId="4" fontId="10" fillId="2" borderId="4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/>
    </xf>
    <xf numFmtId="0" fontId="19" fillId="0" borderId="12" xfId="0" applyFont="1" applyFill="1" applyBorder="1" applyAlignment="1"/>
    <xf numFmtId="0" fontId="19" fillId="0" borderId="0" xfId="0" applyFont="1" applyFill="1" applyBorder="1" applyAlignment="1"/>
    <xf numFmtId="0" fontId="19" fillId="0" borderId="13" xfId="0" applyFont="1" applyFill="1" applyBorder="1" applyAlignment="1"/>
    <xf numFmtId="0" fontId="0" fillId="0" borderId="0" xfId="0" applyFill="1" applyBorder="1"/>
    <xf numFmtId="0" fontId="3" fillId="0" borderId="0" xfId="1" applyAlignment="1">
      <alignment horizontal="right"/>
    </xf>
    <xf numFmtId="4" fontId="3" fillId="0" borderId="0" xfId="1" applyNumberFormat="1"/>
    <xf numFmtId="0" fontId="3" fillId="0" borderId="0" xfId="1"/>
    <xf numFmtId="0" fontId="32" fillId="0" borderId="0" xfId="1" applyFont="1" applyAlignment="1">
      <alignment horizontal="right"/>
    </xf>
    <xf numFmtId="0" fontId="3" fillId="2" borderId="0" xfId="0" applyFont="1" applyFill="1" applyAlignment="1">
      <alignment horizontal="right" wrapText="1"/>
    </xf>
    <xf numFmtId="3" fontId="3" fillId="0" borderId="0" xfId="0" applyNumberFormat="1" applyFont="1" applyFill="1"/>
    <xf numFmtId="0" fontId="8" fillId="0" borderId="25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7" fillId="0" borderId="0" xfId="0" applyFont="1" applyAlignment="1">
      <alignment horizontal="left"/>
    </xf>
    <xf numFmtId="0" fontId="7" fillId="2" borderId="8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19" fillId="0" borderId="26" xfId="0" applyFont="1" applyFill="1" applyBorder="1" applyAlignment="1">
      <alignment horizontal="left"/>
    </xf>
    <xf numFmtId="0" fontId="19" fillId="0" borderId="27" xfId="0" applyFont="1" applyFill="1" applyBorder="1" applyAlignment="1">
      <alignment horizontal="left"/>
    </xf>
    <xf numFmtId="0" fontId="19" fillId="0" borderId="28" xfId="0" applyFont="1" applyFill="1" applyBorder="1" applyAlignment="1">
      <alignment horizontal="left"/>
    </xf>
    <xf numFmtId="0" fontId="10" fillId="0" borderId="26" xfId="0" applyFont="1" applyFill="1" applyBorder="1" applyAlignment="1">
      <alignment horizontal="left"/>
    </xf>
    <xf numFmtId="0" fontId="12" fillId="0" borderId="27" xfId="0" applyFont="1" applyFill="1" applyBorder="1" applyAlignment="1">
      <alignment horizontal="left"/>
    </xf>
    <xf numFmtId="0" fontId="9" fillId="0" borderId="29" xfId="0" applyFont="1" applyFill="1" applyBorder="1" applyAlignment="1"/>
    <xf numFmtId="0" fontId="10" fillId="0" borderId="30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8" fillId="0" borderId="31" xfId="0" applyFont="1" applyFill="1" applyBorder="1" applyAlignment="1">
      <alignment horizontal="center" vertical="center"/>
    </xf>
    <xf numFmtId="0" fontId="7" fillId="0" borderId="0" xfId="1" applyFont="1"/>
    <xf numFmtId="0" fontId="3" fillId="0" borderId="0" xfId="1" applyBorder="1"/>
    <xf numFmtId="0" fontId="7" fillId="0" borderId="27" xfId="1" applyFont="1" applyBorder="1"/>
    <xf numFmtId="0" fontId="3" fillId="0" borderId="27" xfId="1" applyBorder="1"/>
    <xf numFmtId="0" fontId="3" fillId="0" borderId="27" xfId="1" applyBorder="1" applyAlignment="1">
      <alignment horizontal="right"/>
    </xf>
    <xf numFmtId="0" fontId="3" fillId="0" borderId="7" xfId="1" applyBorder="1"/>
    <xf numFmtId="4" fontId="23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" fontId="6" fillId="0" borderId="32" xfId="1" applyNumberFormat="1" applyFont="1" applyFill="1" applyBorder="1" applyAlignment="1">
      <alignment horizontal="center" vertical="center"/>
    </xf>
    <xf numFmtId="0" fontId="2" fillId="0" borderId="30" xfId="1" applyFont="1" applyBorder="1"/>
    <xf numFmtId="4" fontId="6" fillId="0" borderId="4" xfId="1" applyNumberFormat="1" applyFont="1" applyBorder="1"/>
    <xf numFmtId="4" fontId="6" fillId="0" borderId="5" xfId="1" applyNumberFormat="1" applyFont="1" applyBorder="1"/>
    <xf numFmtId="0" fontId="10" fillId="0" borderId="30" xfId="1" applyFont="1" applyBorder="1"/>
    <xf numFmtId="4" fontId="10" fillId="0" borderId="4" xfId="1" applyNumberFormat="1" applyFont="1" applyBorder="1"/>
    <xf numFmtId="4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/>
    </xf>
    <xf numFmtId="0" fontId="10" fillId="0" borderId="30" xfId="1" applyFont="1" applyFill="1" applyBorder="1"/>
    <xf numFmtId="4" fontId="10" fillId="0" borderId="4" xfId="1" applyNumberFormat="1" applyFont="1" applyFill="1" applyBorder="1"/>
    <xf numFmtId="0" fontId="2" fillId="0" borderId="7" xfId="1" applyFont="1" applyBorder="1" applyAlignment="1">
      <alignment horizontal="left"/>
    </xf>
    <xf numFmtId="4" fontId="2" fillId="0" borderId="1" xfId="1" applyNumberFormat="1" applyFont="1" applyBorder="1"/>
    <xf numFmtId="4" fontId="2" fillId="0" borderId="32" xfId="1" applyNumberFormat="1" applyFont="1" applyBorder="1"/>
    <xf numFmtId="0" fontId="24" fillId="0" borderId="0" xfId="1" applyFont="1" applyBorder="1" applyAlignment="1">
      <alignment horizontal="left"/>
    </xf>
    <xf numFmtId="4" fontId="2" fillId="0" borderId="0" xfId="1" applyNumberFormat="1" applyFont="1" applyBorder="1"/>
    <xf numFmtId="0" fontId="3" fillId="0" borderId="0" xfId="1" applyFont="1"/>
    <xf numFmtId="0" fontId="9" fillId="0" borderId="0" xfId="1" applyFont="1" applyBorder="1" applyAlignment="1">
      <alignment horizontal="left"/>
    </xf>
    <xf numFmtId="4" fontId="9" fillId="0" borderId="0" xfId="1" applyNumberFormat="1" applyFont="1" applyBorder="1" applyAlignment="1">
      <alignment horizontal="right"/>
    </xf>
    <xf numFmtId="0" fontId="20" fillId="0" borderId="30" xfId="1" applyFont="1" applyBorder="1" applyAlignment="1">
      <alignment horizontal="left"/>
    </xf>
    <xf numFmtId="4" fontId="20" fillId="0" borderId="4" xfId="1" applyNumberFormat="1" applyFont="1" applyBorder="1"/>
    <xf numFmtId="0" fontId="20" fillId="0" borderId="0" xfId="1" applyFont="1"/>
    <xf numFmtId="0" fontId="25" fillId="0" borderId="0" xfId="1" applyFont="1"/>
    <xf numFmtId="0" fontId="2" fillId="0" borderId="0" xfId="1" applyFont="1" applyAlignment="1">
      <alignment horizontal="right"/>
    </xf>
    <xf numFmtId="4" fontId="2" fillId="0" borderId="0" xfId="1" applyNumberFormat="1" applyFont="1"/>
    <xf numFmtId="0" fontId="26" fillId="0" borderId="0" xfId="1" applyFont="1"/>
    <xf numFmtId="4" fontId="10" fillId="0" borderId="9" xfId="0" applyNumberFormat="1" applyFont="1" applyFill="1" applyBorder="1" applyAlignment="1">
      <alignment horizontal="right" vertical="center" wrapText="1"/>
    </xf>
    <xf numFmtId="0" fontId="2" fillId="2" borderId="31" xfId="0" applyFont="1" applyFill="1" applyBorder="1" applyAlignment="1"/>
    <xf numFmtId="49" fontId="13" fillId="2" borderId="33" xfId="2" applyNumberFormat="1" applyFont="1" applyFill="1" applyBorder="1" applyAlignment="1">
      <alignment vertical="top" wrapText="1"/>
    </xf>
    <xf numFmtId="4" fontId="10" fillId="2" borderId="0" xfId="0" applyNumberFormat="1" applyFont="1" applyFill="1" applyBorder="1" applyAlignment="1">
      <alignment horizontal="right" vertical="center"/>
    </xf>
    <xf numFmtId="4" fontId="10" fillId="2" borderId="9" xfId="0" applyNumberFormat="1" applyFont="1" applyFill="1" applyBorder="1" applyAlignment="1">
      <alignment horizontal="right" vertical="center"/>
    </xf>
    <xf numFmtId="4" fontId="11" fillId="2" borderId="28" xfId="0" applyNumberFormat="1" applyFont="1" applyFill="1" applyBorder="1" applyAlignment="1">
      <alignment horizontal="right" vertical="center"/>
    </xf>
    <xf numFmtId="4" fontId="11" fillId="2" borderId="9" xfId="0" applyNumberFormat="1" applyFont="1" applyFill="1" applyBorder="1" applyAlignment="1">
      <alignment horizontal="right" vertical="center"/>
    </xf>
    <xf numFmtId="0" fontId="6" fillId="2" borderId="31" xfId="0" applyFont="1" applyFill="1" applyBorder="1"/>
    <xf numFmtId="0" fontId="9" fillId="0" borderId="35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vertical="center" wrapText="1"/>
    </xf>
    <xf numFmtId="0" fontId="10" fillId="2" borderId="30" xfId="0" applyFont="1" applyFill="1" applyBorder="1" applyAlignment="1">
      <alignment vertical="center"/>
    </xf>
    <xf numFmtId="0" fontId="10" fillId="0" borderId="30" xfId="0" applyFont="1" applyFill="1" applyBorder="1" applyAlignment="1">
      <alignment horizontal="left" vertical="center" wrapText="1"/>
    </xf>
    <xf numFmtId="0" fontId="10" fillId="2" borderId="30" xfId="0" applyFont="1" applyFill="1" applyBorder="1" applyAlignment="1">
      <alignment vertical="center" wrapText="1"/>
    </xf>
    <xf numFmtId="0" fontId="10" fillId="0" borderId="30" xfId="0" applyFont="1" applyFill="1" applyBorder="1" applyAlignment="1">
      <alignment vertical="center" wrapText="1" shrinkToFit="1"/>
    </xf>
    <xf numFmtId="0" fontId="10" fillId="0" borderId="36" xfId="0" applyFont="1" applyFill="1" applyBorder="1" applyAlignment="1">
      <alignment vertical="center" wrapText="1"/>
    </xf>
    <xf numFmtId="0" fontId="10" fillId="0" borderId="30" xfId="7" applyFont="1" applyFill="1" applyBorder="1" applyAlignment="1">
      <alignment horizontal="left" vertical="center" wrapText="1"/>
    </xf>
    <xf numFmtId="0" fontId="10" fillId="0" borderId="30" xfId="0" applyFont="1" applyFill="1" applyBorder="1"/>
    <xf numFmtId="0" fontId="10" fillId="0" borderId="36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 shrinkToFit="1"/>
    </xf>
    <xf numFmtId="0" fontId="10" fillId="2" borderId="30" xfId="0" applyFont="1" applyFill="1" applyBorder="1" applyAlignment="1">
      <alignment vertical="top" wrapText="1" shrinkToFit="1"/>
    </xf>
    <xf numFmtId="0" fontId="10" fillId="0" borderId="30" xfId="3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wrapText="1"/>
    </xf>
    <xf numFmtId="0" fontId="10" fillId="2" borderId="36" xfId="0" applyFont="1" applyFill="1" applyBorder="1" applyAlignment="1">
      <alignment vertical="top" wrapText="1" shrinkToFit="1"/>
    </xf>
    <xf numFmtId="49" fontId="11" fillId="2" borderId="30" xfId="6" applyNumberFormat="1" applyFont="1" applyFill="1" applyBorder="1" applyAlignment="1">
      <alignment horizontal="left" vertical="center" wrapText="1"/>
    </xf>
    <xf numFmtId="49" fontId="14" fillId="0" borderId="30" xfId="6" applyNumberFormat="1" applyFont="1" applyFill="1" applyBorder="1" applyAlignment="1">
      <alignment horizontal="left" vertical="center" wrapText="1"/>
    </xf>
    <xf numFmtId="0" fontId="14" fillId="0" borderId="30" xfId="0" applyFont="1" applyFill="1" applyBorder="1" applyAlignment="1">
      <alignment vertical="center" wrapText="1"/>
    </xf>
    <xf numFmtId="49" fontId="10" fillId="0" borderId="30" xfId="6" applyNumberFormat="1" applyFont="1" applyFill="1" applyBorder="1" applyAlignment="1">
      <alignment horizontal="left" vertical="center" wrapText="1"/>
    </xf>
    <xf numFmtId="0" fontId="14" fillId="0" borderId="36" xfId="0" applyFont="1" applyFill="1" applyBorder="1" applyAlignment="1">
      <alignment vertical="center" wrapText="1"/>
    </xf>
    <xf numFmtId="0" fontId="10" fillId="0" borderId="30" xfId="8" applyFont="1" applyFill="1" applyBorder="1" applyAlignment="1">
      <alignment horizontal="left" vertical="center" wrapText="1"/>
    </xf>
    <xf numFmtId="0" fontId="10" fillId="0" borderId="36" xfId="8" applyFont="1" applyFill="1" applyBorder="1" applyAlignment="1">
      <alignment horizontal="left" vertical="center" wrapText="1"/>
    </xf>
    <xf numFmtId="0" fontId="7" fillId="0" borderId="0" xfId="1" applyFont="1" applyFill="1" applyAlignment="1">
      <alignment horizontal="left"/>
    </xf>
    <xf numFmtId="0" fontId="27" fillId="0" borderId="0" xfId="1" applyFont="1" applyFill="1"/>
    <xf numFmtId="4" fontId="27" fillId="0" borderId="0" xfId="1" applyNumberFormat="1" applyFont="1" applyFill="1"/>
    <xf numFmtId="0" fontId="3" fillId="0" borderId="0" xfId="1" applyFill="1"/>
    <xf numFmtId="0" fontId="2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3" fillId="0" borderId="0" xfId="1" applyFont="1" applyFill="1"/>
    <xf numFmtId="0" fontId="7" fillId="0" borderId="0" xfId="1" applyFont="1" applyFill="1" applyBorder="1" applyAlignment="1">
      <alignment horizontal="left"/>
    </xf>
    <xf numFmtId="0" fontId="5" fillId="0" borderId="0" xfId="1" applyFont="1" applyFill="1" applyAlignment="1">
      <alignment horizontal="left"/>
    </xf>
    <xf numFmtId="0" fontId="27" fillId="0" borderId="0" xfId="1" applyFont="1"/>
    <xf numFmtId="0" fontId="9" fillId="0" borderId="0" xfId="1" applyFont="1" applyFill="1" applyAlignment="1">
      <alignment horizontal="left"/>
    </xf>
    <xf numFmtId="0" fontId="3" fillId="0" borderId="0" xfId="1" applyFont="1" applyFill="1" applyAlignment="1">
      <alignment horizontal="right"/>
    </xf>
    <xf numFmtId="0" fontId="8" fillId="0" borderId="7" xfId="1" applyFont="1" applyFill="1" applyBorder="1" applyAlignment="1">
      <alignment horizontal="center" vertical="center"/>
    </xf>
    <xf numFmtId="4" fontId="8" fillId="0" borderId="1" xfId="1" applyNumberFormat="1" applyFont="1" applyFill="1" applyBorder="1" applyAlignment="1">
      <alignment horizontal="center" vertical="center" wrapText="1"/>
    </xf>
    <xf numFmtId="0" fontId="3" fillId="0" borderId="2" xfId="1" applyFill="1" applyBorder="1" applyAlignment="1">
      <alignment horizontal="center" vertical="center"/>
    </xf>
    <xf numFmtId="4" fontId="3" fillId="0" borderId="1" xfId="1" applyNumberFormat="1" applyFill="1" applyBorder="1" applyAlignment="1">
      <alignment horizontal="center" vertical="center"/>
    </xf>
    <xf numFmtId="0" fontId="3" fillId="0" borderId="3" xfId="1" applyFill="1" applyBorder="1" applyAlignment="1">
      <alignment horizontal="center" vertical="center"/>
    </xf>
    <xf numFmtId="0" fontId="9" fillId="0" borderId="30" xfId="1" applyFont="1" applyFill="1" applyBorder="1" applyAlignment="1">
      <alignment horizontal="left" vertical="center"/>
    </xf>
    <xf numFmtId="4" fontId="9" fillId="0" borderId="4" xfId="1" applyNumberFormat="1" applyFont="1" applyFill="1" applyBorder="1" applyAlignment="1">
      <alignment horizontal="right" vertical="center"/>
    </xf>
    <xf numFmtId="164" fontId="9" fillId="0" borderId="5" xfId="1" applyNumberFormat="1" applyFont="1" applyFill="1" applyBorder="1"/>
    <xf numFmtId="0" fontId="10" fillId="2" borderId="30" xfId="1" applyFont="1" applyFill="1" applyBorder="1" applyAlignment="1">
      <alignment horizontal="left" vertical="center" wrapText="1"/>
    </xf>
    <xf numFmtId="4" fontId="10" fillId="2" borderId="4" xfId="1" applyNumberFormat="1" applyFont="1" applyFill="1" applyBorder="1" applyAlignment="1">
      <alignment vertical="center"/>
    </xf>
    <xf numFmtId="4" fontId="11" fillId="0" borderId="0" xfId="1" applyNumberFormat="1" applyFont="1" applyFill="1" applyBorder="1" applyAlignment="1">
      <alignment horizontal="right" vertical="center"/>
    </xf>
    <xf numFmtId="164" fontId="10" fillId="0" borderId="5" xfId="1" applyNumberFormat="1" applyFont="1" applyFill="1" applyBorder="1" applyAlignment="1">
      <alignment vertical="center"/>
    </xf>
    <xf numFmtId="0" fontId="27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0" fillId="0" borderId="30" xfId="1" applyFont="1" applyFill="1" applyBorder="1" applyAlignment="1">
      <alignment horizontal="left" vertical="center" wrapText="1"/>
    </xf>
    <xf numFmtId="4" fontId="10" fillId="2" borderId="13" xfId="1" applyNumberFormat="1" applyFont="1" applyFill="1" applyBorder="1" applyAlignment="1">
      <alignment vertical="center"/>
    </xf>
    <xf numFmtId="4" fontId="11" fillId="2" borderId="0" xfId="1" applyNumberFormat="1" applyFont="1" applyFill="1" applyBorder="1" applyAlignment="1">
      <alignment horizontal="right" vertical="center"/>
    </xf>
    <xf numFmtId="0" fontId="10" fillId="0" borderId="30" xfId="1" applyFont="1" applyFill="1" applyBorder="1" applyAlignment="1">
      <alignment vertical="center" wrapText="1"/>
    </xf>
    <xf numFmtId="0" fontId="10" fillId="0" borderId="30" xfId="1" applyFont="1" applyBorder="1" applyAlignment="1">
      <alignment vertical="center" wrapText="1"/>
    </xf>
    <xf numFmtId="4" fontId="11" fillId="2" borderId="4" xfId="1" applyNumberFormat="1" applyFont="1" applyFill="1" applyBorder="1" applyAlignment="1">
      <alignment horizontal="right" vertical="center"/>
    </xf>
    <xf numFmtId="0" fontId="10" fillId="2" borderId="30" xfId="1" applyFont="1" applyFill="1" applyBorder="1" applyAlignment="1">
      <alignment vertical="center" wrapText="1"/>
    </xf>
    <xf numFmtId="4" fontId="11" fillId="0" borderId="0" xfId="1" applyNumberFormat="1" applyFont="1" applyFill="1" applyBorder="1" applyAlignment="1">
      <alignment vertical="center"/>
    </xf>
    <xf numFmtId="4" fontId="11" fillId="0" borderId="4" xfId="1" applyNumberFormat="1" applyFont="1" applyFill="1" applyBorder="1" applyAlignment="1">
      <alignment vertical="center"/>
    </xf>
    <xf numFmtId="4" fontId="11" fillId="0" borderId="4" xfId="1" applyNumberFormat="1" applyFont="1" applyFill="1" applyBorder="1" applyAlignment="1">
      <alignment horizontal="right" vertical="center"/>
    </xf>
    <xf numFmtId="0" fontId="10" fillId="2" borderId="36" xfId="1" applyFont="1" applyFill="1" applyBorder="1" applyAlignment="1">
      <alignment vertical="center" wrapText="1"/>
    </xf>
    <xf numFmtId="4" fontId="10" fillId="2" borderId="9" xfId="1" applyNumberFormat="1" applyFont="1" applyFill="1" applyBorder="1" applyAlignment="1">
      <alignment vertical="center"/>
    </xf>
    <xf numFmtId="4" fontId="11" fillId="2" borderId="9" xfId="1" applyNumberFormat="1" applyFont="1" applyFill="1" applyBorder="1" applyAlignment="1">
      <alignment horizontal="right" vertical="center"/>
    </xf>
    <xf numFmtId="164" fontId="10" fillId="0" borderId="6" xfId="1" applyNumberFormat="1" applyFont="1" applyFill="1" applyBorder="1" applyAlignment="1">
      <alignment vertical="center"/>
    </xf>
    <xf numFmtId="4" fontId="10" fillId="2" borderId="0" xfId="1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vertical="center"/>
    </xf>
    <xf numFmtId="0" fontId="27" fillId="0" borderId="0" xfId="1" applyFont="1" applyBorder="1" applyAlignment="1">
      <alignment vertical="center"/>
    </xf>
    <xf numFmtId="0" fontId="3" fillId="0" borderId="0" xfId="1" applyBorder="1" applyAlignment="1">
      <alignment vertical="center"/>
    </xf>
    <xf numFmtId="3" fontId="11" fillId="2" borderId="0" xfId="1" applyNumberFormat="1" applyFont="1" applyFill="1" applyBorder="1" applyAlignment="1">
      <alignment horizontal="right" vertical="center"/>
    </xf>
    <xf numFmtId="0" fontId="27" fillId="0" borderId="0" xfId="1" applyFont="1" applyBorder="1"/>
    <xf numFmtId="0" fontId="9" fillId="2" borderId="0" xfId="1" applyFont="1" applyFill="1" applyBorder="1" applyAlignment="1">
      <alignment horizontal="left" vertical="center"/>
    </xf>
    <xf numFmtId="164" fontId="15" fillId="0" borderId="5" xfId="1" applyNumberFormat="1" applyFont="1" applyFill="1" applyBorder="1" applyAlignment="1">
      <alignment vertical="center"/>
    </xf>
    <xf numFmtId="0" fontId="28" fillId="0" borderId="0" xfId="1" applyFont="1"/>
    <xf numFmtId="0" fontId="10" fillId="0" borderId="0" xfId="1" applyFont="1"/>
    <xf numFmtId="0" fontId="10" fillId="0" borderId="36" xfId="1" applyFont="1" applyFill="1" applyBorder="1"/>
    <xf numFmtId="4" fontId="10" fillId="0" borderId="9" xfId="1" applyNumberFormat="1" applyFont="1" applyBorder="1"/>
    <xf numFmtId="0" fontId="8" fillId="2" borderId="0" xfId="1" applyFont="1" applyFill="1" applyBorder="1" applyAlignment="1">
      <alignment vertical="center" wrapText="1"/>
    </xf>
    <xf numFmtId="0" fontId="7" fillId="2" borderId="8" xfId="1" applyFont="1" applyFill="1" applyBorder="1" applyAlignment="1">
      <alignment vertical="center" wrapText="1"/>
    </xf>
    <xf numFmtId="4" fontId="2" fillId="2" borderId="8" xfId="1" applyNumberFormat="1" applyFont="1" applyFill="1" applyBorder="1" applyAlignment="1">
      <alignment vertical="center"/>
    </xf>
    <xf numFmtId="164" fontId="18" fillId="0" borderId="8" xfId="1" applyNumberFormat="1" applyFont="1" applyFill="1" applyBorder="1" applyAlignment="1">
      <alignment vertical="center"/>
    </xf>
    <xf numFmtId="0" fontId="29" fillId="0" borderId="0" xfId="1" applyFont="1"/>
    <xf numFmtId="4" fontId="10" fillId="2" borderId="28" xfId="1" applyNumberFormat="1" applyFont="1" applyFill="1" applyBorder="1" applyAlignment="1">
      <alignment vertical="center"/>
    </xf>
    <xf numFmtId="4" fontId="11" fillId="0" borderId="27" xfId="1" applyNumberFormat="1" applyFont="1" applyFill="1" applyBorder="1" applyAlignment="1">
      <alignment horizontal="right" vertical="center"/>
    </xf>
    <xf numFmtId="4" fontId="11" fillId="0" borderId="9" xfId="1" applyNumberFormat="1" applyFont="1" applyFill="1" applyBorder="1" applyAlignment="1">
      <alignment horizontal="right" vertical="center"/>
    </xf>
    <xf numFmtId="0" fontId="10" fillId="0" borderId="30" xfId="1" applyFont="1" applyFill="1" applyBorder="1" applyAlignment="1">
      <alignment wrapText="1"/>
    </xf>
    <xf numFmtId="0" fontId="10" fillId="0" borderId="30" xfId="1" applyFont="1" applyFill="1" applyBorder="1" applyAlignment="1">
      <alignment horizontal="left"/>
    </xf>
    <xf numFmtId="0" fontId="10" fillId="0" borderId="30" xfId="9" applyFont="1" applyFill="1" applyBorder="1" applyAlignment="1">
      <alignment horizontal="left" wrapText="1"/>
    </xf>
    <xf numFmtId="0" fontId="10" fillId="0" borderId="30" xfId="1" applyFont="1" applyFill="1" applyBorder="1" applyAlignment="1">
      <alignment horizontal="left" wrapText="1"/>
    </xf>
    <xf numFmtId="0" fontId="10" fillId="0" borderId="30" xfId="9" applyFont="1" applyFill="1" applyBorder="1" applyAlignment="1">
      <alignment horizontal="left"/>
    </xf>
    <xf numFmtId="0" fontId="10" fillId="0" borderId="12" xfId="1" applyFont="1" applyBorder="1"/>
    <xf numFmtId="0" fontId="10" fillId="0" borderId="26" xfId="1" applyFont="1" applyBorder="1"/>
    <xf numFmtId="0" fontId="10" fillId="0" borderId="0" xfId="1" applyFont="1" applyBorder="1"/>
    <xf numFmtId="4" fontId="10" fillId="0" borderId="0" xfId="1" applyNumberFormat="1" applyFont="1" applyBorder="1"/>
    <xf numFmtId="4" fontId="9" fillId="0" borderId="13" xfId="1" applyNumberFormat="1" applyFont="1" applyFill="1" applyBorder="1" applyAlignment="1">
      <alignment horizontal="right" vertical="center"/>
    </xf>
    <xf numFmtId="4" fontId="10" fillId="0" borderId="13" xfId="1" applyNumberFormat="1" applyFont="1" applyFill="1" applyBorder="1" applyAlignment="1">
      <alignment horizontal="right"/>
    </xf>
    <xf numFmtId="4" fontId="10" fillId="0" borderId="0" xfId="1" applyNumberFormat="1" applyFont="1" applyFill="1" applyBorder="1" applyAlignment="1">
      <alignment horizontal="right"/>
    </xf>
    <xf numFmtId="4" fontId="10" fillId="0" borderId="4" xfId="1" applyNumberFormat="1" applyFont="1" applyFill="1" applyBorder="1" applyAlignment="1">
      <alignment horizontal="right"/>
    </xf>
    <xf numFmtId="3" fontId="28" fillId="0" borderId="0" xfId="1" applyNumberFormat="1" applyFont="1" applyFill="1" applyBorder="1" applyAlignment="1">
      <alignment horizontal="left"/>
    </xf>
    <xf numFmtId="4" fontId="10" fillId="0" borderId="13" xfId="1" applyNumberFormat="1" applyFont="1" applyFill="1" applyBorder="1" applyAlignment="1">
      <alignment horizontal="right" vertical="center"/>
    </xf>
    <xf numFmtId="4" fontId="10" fillId="0" borderId="0" xfId="1" applyNumberFormat="1" applyFont="1" applyFill="1" applyBorder="1" applyAlignment="1">
      <alignment horizontal="right" vertical="center"/>
    </xf>
    <xf numFmtId="4" fontId="10" fillId="0" borderId="4" xfId="1" applyNumberFormat="1" applyFont="1" applyFill="1" applyBorder="1" applyAlignment="1">
      <alignment horizontal="right" vertical="center"/>
    </xf>
    <xf numFmtId="4" fontId="10" fillId="0" borderId="9" xfId="1" applyNumberFormat="1" applyFont="1" applyFill="1" applyBorder="1" applyAlignment="1">
      <alignment horizontal="right"/>
    </xf>
    <xf numFmtId="4" fontId="10" fillId="0" borderId="4" xfId="1" applyNumberFormat="1" applyFont="1" applyBorder="1" applyAlignment="1">
      <alignment vertical="center"/>
    </xf>
    <xf numFmtId="0" fontId="3" fillId="0" borderId="0" xfId="1" applyAlignment="1">
      <alignment vertical="center"/>
    </xf>
    <xf numFmtId="4" fontId="10" fillId="0" borderId="13" xfId="1" applyNumberFormat="1" applyFont="1" applyBorder="1"/>
    <xf numFmtId="4" fontId="10" fillId="0" borderId="13" xfId="1" applyNumberFormat="1" applyFont="1" applyBorder="1" applyAlignment="1">
      <alignment vertical="center"/>
    </xf>
    <xf numFmtId="0" fontId="10" fillId="0" borderId="36" xfId="1" applyFont="1" applyBorder="1"/>
    <xf numFmtId="0" fontId="10" fillId="0" borderId="12" xfId="1" applyFont="1" applyFill="1" applyBorder="1"/>
    <xf numFmtId="4" fontId="10" fillId="0" borderId="13" xfId="1" applyNumberFormat="1" applyFont="1" applyFill="1" applyBorder="1"/>
    <xf numFmtId="4" fontId="10" fillId="0" borderId="13" xfId="1" applyNumberFormat="1" applyFont="1" applyFill="1" applyBorder="1" applyAlignment="1">
      <alignment vertical="center"/>
    </xf>
    <xf numFmtId="0" fontId="28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6" fillId="0" borderId="0" xfId="1" applyFont="1" applyFill="1" applyBorder="1" applyAlignment="1">
      <alignment horizontal="left"/>
    </xf>
    <xf numFmtId="0" fontId="17" fillId="0" borderId="0" xfId="1" applyFont="1" applyFill="1" applyBorder="1"/>
    <xf numFmtId="0" fontId="17" fillId="0" borderId="0" xfId="1" applyFont="1" applyFill="1" applyBorder="1" applyAlignment="1">
      <alignment horizontal="left"/>
    </xf>
    <xf numFmtId="4" fontId="10" fillId="0" borderId="0" xfId="1" applyNumberFormat="1" applyFont="1" applyFill="1" applyBorder="1"/>
    <xf numFmtId="164" fontId="17" fillId="0" borderId="0" xfId="1" applyNumberFormat="1" applyFont="1" applyFill="1" applyBorder="1"/>
    <xf numFmtId="0" fontId="18" fillId="0" borderId="8" xfId="1" applyFont="1" applyFill="1" applyBorder="1" applyAlignment="1">
      <alignment horizontal="left"/>
    </xf>
    <xf numFmtId="4" fontId="15" fillId="0" borderId="8" xfId="1" applyNumberFormat="1" applyFont="1" applyFill="1" applyBorder="1"/>
    <xf numFmtId="164" fontId="15" fillId="0" borderId="8" xfId="1" applyNumberFormat="1" applyFont="1" applyFill="1" applyBorder="1"/>
    <xf numFmtId="0" fontId="3" fillId="0" borderId="0" xfId="1" applyFill="1" applyAlignment="1">
      <alignment horizontal="center"/>
    </xf>
    <xf numFmtId="3" fontId="3" fillId="0" borderId="0" xfId="1" applyNumberFormat="1" applyFill="1"/>
    <xf numFmtId="4" fontId="3" fillId="0" borderId="0" xfId="1" applyNumberFormat="1" applyFill="1"/>
    <xf numFmtId="49" fontId="5" fillId="0" borderId="0" xfId="1" applyNumberFormat="1" applyFont="1" applyFill="1" applyAlignment="1">
      <alignment horizontal="right"/>
    </xf>
    <xf numFmtId="0" fontId="3" fillId="0" borderId="0" xfId="1" applyFill="1" applyAlignment="1">
      <alignment horizontal="right"/>
    </xf>
    <xf numFmtId="0" fontId="3" fillId="0" borderId="0" xfId="1" applyFill="1" applyBorder="1" applyAlignment="1">
      <alignment horizontal="center" vertical="center"/>
    </xf>
    <xf numFmtId="0" fontId="10" fillId="0" borderId="13" xfId="1" applyFont="1" applyFill="1" applyBorder="1" applyAlignment="1">
      <alignment vertical="center" wrapText="1"/>
    </xf>
    <xf numFmtId="164" fontId="3" fillId="0" borderId="5" xfId="1" applyNumberFormat="1" applyFont="1" applyFill="1" applyBorder="1"/>
    <xf numFmtId="164" fontId="3" fillId="0" borderId="0" xfId="1" applyNumberFormat="1" applyFont="1" applyFill="1" applyBorder="1"/>
    <xf numFmtId="49" fontId="5" fillId="0" borderId="0" xfId="1" applyNumberFormat="1" applyFont="1" applyFill="1" applyBorder="1" applyAlignment="1">
      <alignment horizontal="right" vertical="center" wrapText="1"/>
    </xf>
    <xf numFmtId="3" fontId="20" fillId="0" borderId="0" xfId="1" applyNumberFormat="1" applyFont="1" applyFill="1" applyBorder="1"/>
    <xf numFmtId="0" fontId="20" fillId="0" borderId="0" xfId="1" applyFont="1" applyFill="1"/>
    <xf numFmtId="0" fontId="10" fillId="0" borderId="12" xfId="1" applyFont="1" applyFill="1" applyBorder="1" applyAlignment="1">
      <alignment horizontal="left" vertical="center" wrapText="1"/>
    </xf>
    <xf numFmtId="0" fontId="10" fillId="0" borderId="12" xfId="1" applyFont="1" applyFill="1" applyBorder="1" applyAlignment="1">
      <alignment vertical="center" wrapText="1"/>
    </xf>
    <xf numFmtId="3" fontId="20" fillId="0" borderId="0" xfId="1" applyNumberFormat="1" applyFont="1" applyFill="1" applyBorder="1" applyAlignment="1">
      <alignment vertical="center"/>
    </xf>
    <xf numFmtId="0" fontId="20" fillId="0" borderId="0" xfId="1" applyFont="1" applyFill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right"/>
    </xf>
    <xf numFmtId="0" fontId="10" fillId="0" borderId="26" xfId="1" applyFont="1" applyFill="1" applyBorder="1" applyAlignment="1">
      <alignment vertical="center" wrapText="1"/>
    </xf>
    <xf numFmtId="4" fontId="10" fillId="0" borderId="9" xfId="1" applyNumberFormat="1" applyFont="1" applyFill="1" applyBorder="1" applyAlignment="1">
      <alignment horizontal="right" vertical="center"/>
    </xf>
    <xf numFmtId="164" fontId="3" fillId="0" borderId="6" xfId="1" applyNumberFormat="1" applyFont="1" applyFill="1" applyBorder="1" applyAlignment="1">
      <alignment vertical="center"/>
    </xf>
    <xf numFmtId="0" fontId="2" fillId="0" borderId="26" xfId="1" applyFont="1" applyFill="1" applyBorder="1" applyAlignment="1">
      <alignment horizontal="left"/>
    </xf>
    <xf numFmtId="0" fontId="2" fillId="0" borderId="27" xfId="1" applyFont="1" applyFill="1" applyBorder="1" applyAlignment="1">
      <alignment horizontal="left"/>
    </xf>
    <xf numFmtId="4" fontId="2" fillId="0" borderId="9" xfId="1" applyNumberFormat="1" applyFont="1" applyFill="1" applyBorder="1"/>
    <xf numFmtId="164" fontId="2" fillId="0" borderId="6" xfId="1" applyNumberFormat="1" applyFont="1" applyFill="1" applyBorder="1"/>
    <xf numFmtId="164" fontId="2" fillId="0" borderId="0" xfId="1" applyNumberFormat="1" applyFont="1" applyFill="1" applyBorder="1"/>
    <xf numFmtId="3" fontId="3" fillId="0" borderId="0" xfId="1" applyNumberFormat="1" applyFill="1" applyBorder="1"/>
    <xf numFmtId="0" fontId="3" fillId="0" borderId="0" xfId="1" applyFill="1" applyAlignment="1">
      <alignment horizontal="left"/>
    </xf>
    <xf numFmtId="0" fontId="3" fillId="0" borderId="0" xfId="1" applyFill="1" applyBorder="1" applyAlignment="1">
      <alignment horizontal="right"/>
    </xf>
    <xf numFmtId="0" fontId="3" fillId="0" borderId="0" xfId="1" applyFill="1" applyBorder="1"/>
    <xf numFmtId="0" fontId="2" fillId="0" borderId="37" xfId="1" applyFont="1" applyFill="1" applyBorder="1" applyAlignment="1">
      <alignment horizontal="left"/>
    </xf>
    <xf numFmtId="0" fontId="2" fillId="0" borderId="38" xfId="1" applyFont="1" applyFill="1" applyBorder="1" applyAlignment="1">
      <alignment horizontal="left"/>
    </xf>
    <xf numFmtId="4" fontId="2" fillId="0" borderId="39" xfId="1" applyNumberFormat="1" applyFont="1" applyFill="1" applyBorder="1"/>
    <xf numFmtId="164" fontId="2" fillId="0" borderId="40" xfId="1" applyNumberFormat="1" applyFont="1" applyFill="1" applyBorder="1"/>
    <xf numFmtId="3" fontId="10" fillId="0" borderId="41" xfId="1" applyNumberFormat="1" applyFont="1" applyFill="1" applyBorder="1" applyAlignment="1">
      <alignment horizontal="left"/>
    </xf>
    <xf numFmtId="4" fontId="3" fillId="0" borderId="41" xfId="1" applyNumberFormat="1" applyFill="1" applyBorder="1"/>
    <xf numFmtId="0" fontId="2" fillId="0" borderId="8" xfId="1" applyFont="1" applyFill="1" applyBorder="1" applyAlignment="1">
      <alignment horizontal="left"/>
    </xf>
    <xf numFmtId="164" fontId="2" fillId="0" borderId="8" xfId="1" applyNumberFormat="1" applyFont="1" applyFill="1" applyBorder="1" applyAlignment="1"/>
    <xf numFmtId="164" fontId="2" fillId="0" borderId="0" xfId="1" applyNumberFormat="1" applyFont="1" applyFill="1" applyBorder="1" applyAlignment="1"/>
    <xf numFmtId="3" fontId="3" fillId="0" borderId="0" xfId="1" applyNumberFormat="1" applyFont="1" applyFill="1"/>
    <xf numFmtId="4" fontId="3" fillId="0" borderId="0" xfId="1" applyNumberFormat="1" applyFont="1" applyFill="1"/>
    <xf numFmtId="0" fontId="2" fillId="2" borderId="0" xfId="1" applyFont="1" applyFill="1" applyBorder="1" applyAlignment="1"/>
    <xf numFmtId="0" fontId="3" fillId="2" borderId="0" xfId="1" applyFont="1" applyFill="1" applyBorder="1" applyAlignment="1">
      <alignment horizontal="center" vertical="center"/>
    </xf>
    <xf numFmtId="0" fontId="3" fillId="2" borderId="0" xfId="1" applyFill="1" applyBorder="1"/>
    <xf numFmtId="4" fontId="9" fillId="0" borderId="0" xfId="1" applyNumberFormat="1" applyFont="1" applyFill="1" applyBorder="1" applyAlignment="1">
      <alignment horizontal="right" vertical="center"/>
    </xf>
    <xf numFmtId="164" fontId="9" fillId="0" borderId="5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3" fillId="2" borderId="0" xfId="1" applyFill="1"/>
    <xf numFmtId="0" fontId="3" fillId="5" borderId="0" xfId="5" applyNumberFormat="1" applyFont="1" applyFill="1" applyBorder="1" applyAlignment="1">
      <alignment horizontal="center" vertical="center" wrapText="1"/>
    </xf>
    <xf numFmtId="4" fontId="10" fillId="2" borderId="27" xfId="1" applyNumberFormat="1" applyFont="1" applyFill="1" applyBorder="1" applyAlignment="1">
      <alignment vertical="center"/>
    </xf>
    <xf numFmtId="0" fontId="3" fillId="2" borderId="0" xfId="1" applyFill="1" applyAlignment="1">
      <alignment vertical="center"/>
    </xf>
    <xf numFmtId="0" fontId="3" fillId="2" borderId="0" xfId="1" applyFill="1" applyAlignment="1">
      <alignment wrapText="1"/>
    </xf>
    <xf numFmtId="0" fontId="3" fillId="2" borderId="0" xfId="1" applyFont="1" applyFill="1" applyAlignment="1">
      <alignment horizontal="center" vertical="center"/>
    </xf>
    <xf numFmtId="0" fontId="10" fillId="2" borderId="36" xfId="7" applyFont="1" applyFill="1" applyBorder="1" applyAlignment="1">
      <alignment vertical="center" wrapText="1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horizontal="left"/>
    </xf>
    <xf numFmtId="0" fontId="10" fillId="0" borderId="0" xfId="1" applyFont="1" applyFill="1" applyAlignment="1">
      <alignment horizontal="left"/>
    </xf>
    <xf numFmtId="3" fontId="10" fillId="0" borderId="0" xfId="1" applyNumberFormat="1" applyFont="1" applyFill="1" applyBorder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center"/>
    </xf>
    <xf numFmtId="0" fontId="22" fillId="0" borderId="0" xfId="1" applyFont="1" applyFill="1" applyAlignment="1">
      <alignment horizontal="left"/>
    </xf>
    <xf numFmtId="4" fontId="10" fillId="0" borderId="4" xfId="1" applyNumberFormat="1" applyFont="1" applyFill="1" applyBorder="1" applyAlignment="1">
      <alignment vertical="center"/>
    </xf>
    <xf numFmtId="0" fontId="27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3" fontId="10" fillId="0" borderId="0" xfId="1" applyNumberFormat="1" applyFont="1" applyFill="1" applyBorder="1" applyAlignment="1">
      <alignment horizontal="left" vertical="center"/>
    </xf>
    <xf numFmtId="0" fontId="10" fillId="0" borderId="36" xfId="1" applyFont="1" applyFill="1" applyBorder="1" applyAlignment="1">
      <alignment vertical="center" wrapText="1"/>
    </xf>
    <xf numFmtId="0" fontId="10" fillId="0" borderId="30" xfId="1" applyFont="1" applyFill="1" applyBorder="1" applyAlignment="1">
      <alignment vertical="center"/>
    </xf>
    <xf numFmtId="4" fontId="10" fillId="0" borderId="9" xfId="1" applyNumberFormat="1" applyFont="1" applyFill="1" applyBorder="1" applyAlignment="1">
      <alignment vertical="center"/>
    </xf>
    <xf numFmtId="0" fontId="10" fillId="0" borderId="36" xfId="1" applyFont="1" applyFill="1" applyBorder="1" applyAlignment="1">
      <alignment wrapText="1"/>
    </xf>
    <xf numFmtId="0" fontId="3" fillId="7" borderId="0" xfId="1" applyFont="1" applyFill="1" applyAlignment="1">
      <alignment horizontal="left"/>
    </xf>
    <xf numFmtId="0" fontId="10" fillId="2" borderId="0" xfId="1" applyFont="1" applyFill="1" applyBorder="1" applyAlignment="1">
      <alignment vertical="center" wrapText="1"/>
    </xf>
    <xf numFmtId="0" fontId="10" fillId="0" borderId="30" xfId="1" applyFont="1" applyFill="1" applyBorder="1" applyAlignment="1">
      <alignment vertical="top" wrapText="1" shrinkToFit="1"/>
    </xf>
    <xf numFmtId="0" fontId="10" fillId="0" borderId="36" xfId="0" applyFont="1" applyFill="1" applyBorder="1" applyAlignment="1">
      <alignment horizontal="left"/>
    </xf>
    <xf numFmtId="4" fontId="10" fillId="0" borderId="9" xfId="1" applyNumberFormat="1" applyFont="1" applyBorder="1" applyAlignment="1">
      <alignment vertical="center"/>
    </xf>
    <xf numFmtId="3" fontId="3" fillId="0" borderId="0" xfId="1" applyNumberFormat="1" applyFont="1" applyFill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Fill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49" fontId="3" fillId="0" borderId="0" xfId="1" applyNumberFormat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/>
    </xf>
    <xf numFmtId="4" fontId="10" fillId="0" borderId="0" xfId="0" applyNumberFormat="1" applyFont="1" applyFill="1"/>
    <xf numFmtId="4" fontId="34" fillId="0" borderId="0" xfId="1" applyNumberFormat="1" applyFont="1" applyBorder="1"/>
    <xf numFmtId="0" fontId="10" fillId="0" borderId="0" xfId="1" applyFont="1" applyFill="1" applyAlignment="1">
      <alignment horizontal="left" vertical="center"/>
    </xf>
    <xf numFmtId="0" fontId="10" fillId="0" borderId="30" xfId="1" applyFont="1" applyBorder="1" applyAlignment="1">
      <alignment vertical="center"/>
    </xf>
    <xf numFmtId="4" fontId="28" fillId="0" borderId="0" xfId="1" applyNumberFormat="1" applyFont="1" applyFill="1"/>
    <xf numFmtId="0" fontId="28" fillId="0" borderId="0" xfId="1" applyFont="1" applyFill="1"/>
    <xf numFmtId="0" fontId="10" fillId="0" borderId="0" xfId="1" applyFont="1" applyFill="1"/>
    <xf numFmtId="0" fontId="28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64" fontId="10" fillId="0" borderId="5" xfId="1" applyNumberFormat="1" applyFont="1" applyFill="1" applyBorder="1" applyAlignment="1">
      <alignment horizontal="left" vertical="center"/>
    </xf>
    <xf numFmtId="0" fontId="27" fillId="0" borderId="0" xfId="1" applyFont="1" applyAlignment="1">
      <alignment horizontal="left" vertical="center"/>
    </xf>
    <xf numFmtId="0" fontId="3" fillId="0" borderId="0" xfId="1" applyAlignment="1">
      <alignment horizontal="left" vertical="center"/>
    </xf>
    <xf numFmtId="0" fontId="10" fillId="0" borderId="27" xfId="1" applyFont="1" applyFill="1" applyBorder="1" applyAlignment="1">
      <alignment vertical="center" wrapText="1"/>
    </xf>
    <xf numFmtId="4" fontId="2" fillId="0" borderId="8" xfId="1" applyNumberFormat="1" applyFont="1" applyFill="1" applyBorder="1"/>
    <xf numFmtId="0" fontId="35" fillId="0" borderId="0" xfId="1" applyFont="1" applyFill="1" applyAlignment="1">
      <alignment horizontal="center"/>
    </xf>
    <xf numFmtId="0" fontId="35" fillId="0" borderId="0" xfId="1" applyFont="1" applyFill="1" applyBorder="1" applyAlignment="1">
      <alignment horizontal="center"/>
    </xf>
    <xf numFmtId="0" fontId="36" fillId="0" borderId="0" xfId="1" applyFont="1" applyFill="1" applyAlignment="1">
      <alignment horizontal="center"/>
    </xf>
    <xf numFmtId="4" fontId="10" fillId="0" borderId="9" xfId="1" applyNumberFormat="1" applyFont="1" applyFill="1" applyBorder="1"/>
    <xf numFmtId="0" fontId="35" fillId="0" borderId="0" xfId="1" applyFont="1" applyFill="1" applyBorder="1" applyAlignment="1">
      <alignment horizontal="left"/>
    </xf>
    <xf numFmtId="0" fontId="9" fillId="0" borderId="35" xfId="1" applyFont="1" applyFill="1" applyBorder="1" applyAlignment="1">
      <alignment horizontal="left" vertical="center"/>
    </xf>
    <xf numFmtId="4" fontId="9" fillId="0" borderId="21" xfId="1" applyNumberFormat="1" applyFont="1" applyFill="1" applyBorder="1" applyAlignment="1">
      <alignment horizontal="right" vertical="center"/>
    </xf>
    <xf numFmtId="164" fontId="9" fillId="0" borderId="11" xfId="1" applyNumberFormat="1" applyFont="1" applyFill="1" applyBorder="1"/>
    <xf numFmtId="4" fontId="10" fillId="0" borderId="28" xfId="1" applyNumberFormat="1" applyFont="1" applyFill="1" applyBorder="1" applyAlignment="1">
      <alignment horizontal="right"/>
    </xf>
    <xf numFmtId="4" fontId="10" fillId="0" borderId="27" xfId="1" applyNumberFormat="1" applyFont="1" applyFill="1" applyBorder="1" applyAlignment="1">
      <alignment horizontal="right"/>
    </xf>
    <xf numFmtId="164" fontId="10" fillId="0" borderId="5" xfId="1" applyNumberFormat="1" applyFont="1" applyFill="1" applyBorder="1"/>
    <xf numFmtId="4" fontId="27" fillId="0" borderId="0" xfId="1" applyNumberFormat="1" applyFont="1"/>
    <xf numFmtId="4" fontId="27" fillId="0" borderId="0" xfId="1" applyNumberFormat="1" applyFont="1" applyAlignment="1">
      <alignment vertical="center"/>
    </xf>
    <xf numFmtId="4" fontId="28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horizontal="center"/>
    </xf>
    <xf numFmtId="2" fontId="10" fillId="0" borderId="30" xfId="1" applyNumberFormat="1" applyFont="1" applyFill="1" applyBorder="1" applyAlignment="1">
      <alignment vertical="center" wrapText="1"/>
    </xf>
    <xf numFmtId="0" fontId="37" fillId="0" borderId="0" xfId="1" applyFont="1"/>
    <xf numFmtId="0" fontId="10" fillId="0" borderId="26" xfId="1" applyFont="1" applyFill="1" applyBorder="1"/>
    <xf numFmtId="0" fontId="3" fillId="8" borderId="0" xfId="1" applyFont="1" applyFill="1" applyAlignment="1">
      <alignment horizontal="left"/>
    </xf>
    <xf numFmtId="0" fontId="3" fillId="6" borderId="0" xfId="1" applyFont="1" applyFill="1" applyAlignment="1">
      <alignment horizontal="left"/>
    </xf>
    <xf numFmtId="0" fontId="5" fillId="9" borderId="0" xfId="1" applyFont="1" applyFill="1" applyAlignment="1">
      <alignment horizontal="left"/>
    </xf>
    <xf numFmtId="0" fontId="3" fillId="10" borderId="0" xfId="1" applyFont="1" applyFill="1" applyAlignment="1">
      <alignment horizontal="left"/>
    </xf>
    <xf numFmtId="0" fontId="3" fillId="11" borderId="0" xfId="1" applyFont="1" applyFill="1" applyAlignment="1">
      <alignment horizontal="left"/>
    </xf>
    <xf numFmtId="0" fontId="3" fillId="12" borderId="0" xfId="1" applyFont="1" applyFill="1" applyAlignment="1">
      <alignment horizontal="left"/>
    </xf>
    <xf numFmtId="0" fontId="5" fillId="6" borderId="0" xfId="1" applyFont="1" applyFill="1" applyBorder="1" applyAlignment="1">
      <alignment horizontal="left"/>
    </xf>
    <xf numFmtId="0" fontId="7" fillId="6" borderId="0" xfId="1" applyFont="1" applyFill="1" applyAlignment="1">
      <alignment horizontal="left"/>
    </xf>
    <xf numFmtId="0" fontId="5" fillId="12" borderId="0" xfId="1" applyFont="1" applyFill="1" applyAlignment="1">
      <alignment horizontal="left"/>
    </xf>
    <xf numFmtId="0" fontId="5" fillId="9" borderId="0" xfId="1" applyFont="1" applyFill="1" applyAlignment="1">
      <alignment horizontal="left" vertical="center"/>
    </xf>
    <xf numFmtId="0" fontId="3" fillId="9" borderId="0" xfId="1" applyFont="1" applyFill="1" applyAlignment="1">
      <alignment horizontal="left"/>
    </xf>
    <xf numFmtId="0" fontId="5" fillId="11" borderId="0" xfId="1" applyFont="1" applyFill="1" applyAlignment="1">
      <alignment horizontal="left"/>
    </xf>
    <xf numFmtId="0" fontId="7" fillId="10" borderId="0" xfId="1" applyFont="1" applyFill="1" applyAlignment="1">
      <alignment horizontal="left"/>
    </xf>
    <xf numFmtId="0" fontId="5" fillId="7" borderId="0" xfId="1" applyFont="1" applyFill="1" applyBorder="1" applyAlignment="1">
      <alignment horizontal="left"/>
    </xf>
    <xf numFmtId="0" fontId="7" fillId="7" borderId="0" xfId="1" applyFont="1" applyFill="1" applyAlignment="1">
      <alignment horizontal="left"/>
    </xf>
    <xf numFmtId="4" fontId="10" fillId="0" borderId="28" xfId="1" applyNumberFormat="1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4" fontId="0" fillId="0" borderId="0" xfId="0" applyNumberFormat="1" applyFill="1" applyAlignment="1">
      <alignment horizontal="right"/>
    </xf>
    <xf numFmtId="4" fontId="0" fillId="0" borderId="42" xfId="0" applyNumberFormat="1" applyFill="1" applyBorder="1" applyAlignment="1">
      <alignment horizontal="right"/>
    </xf>
    <xf numFmtId="4" fontId="6" fillId="0" borderId="0" xfId="0" applyNumberFormat="1" applyFont="1" applyFill="1" applyAlignment="1">
      <alignment horizontal="right"/>
    </xf>
    <xf numFmtId="4" fontId="0" fillId="0" borderId="0" xfId="0" applyNumberForma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0" fontId="38" fillId="0" borderId="0" xfId="0" applyFont="1" applyFill="1"/>
    <xf numFmtId="0" fontId="0" fillId="10" borderId="0" xfId="0" applyFill="1"/>
    <xf numFmtId="0" fontId="0" fillId="8" borderId="0" xfId="0" applyFill="1"/>
    <xf numFmtId="0" fontId="0" fillId="7" borderId="0" xfId="0" applyFill="1"/>
    <xf numFmtId="0" fontId="0" fillId="8" borderId="12" xfId="0" applyFill="1" applyBorder="1"/>
    <xf numFmtId="0" fontId="0" fillId="7" borderId="0" xfId="0" applyFill="1" applyAlignment="1">
      <alignment vertical="center"/>
    </xf>
    <xf numFmtId="0" fontId="0" fillId="0" borderId="0" xfId="0" applyFill="1" applyAlignment="1">
      <alignment vertical="center"/>
    </xf>
    <xf numFmtId="4" fontId="3" fillId="0" borderId="0" xfId="0" applyNumberFormat="1" applyFont="1" applyFill="1" applyAlignment="1">
      <alignment horizontal="right"/>
    </xf>
    <xf numFmtId="4" fontId="3" fillId="0" borderId="0" xfId="0" applyNumberFormat="1" applyFont="1"/>
    <xf numFmtId="4" fontId="3" fillId="0" borderId="42" xfId="0" applyNumberFormat="1" applyFont="1" applyBorder="1"/>
    <xf numFmtId="4" fontId="0" fillId="0" borderId="42" xfId="0" applyNumberFormat="1" applyBorder="1"/>
    <xf numFmtId="4" fontId="10" fillId="13" borderId="4" xfId="1" applyNumberFormat="1" applyFont="1" applyFill="1" applyBorder="1"/>
    <xf numFmtId="4" fontId="6" fillId="13" borderId="4" xfId="1" applyNumberFormat="1" applyFont="1" applyFill="1" applyBorder="1"/>
    <xf numFmtId="0" fontId="34" fillId="0" borderId="0" xfId="1" applyFont="1"/>
    <xf numFmtId="164" fontId="18" fillId="0" borderId="8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right" vertical="center"/>
    </xf>
    <xf numFmtId="164" fontId="9" fillId="0" borderId="5" xfId="0" applyNumberFormat="1" applyFont="1" applyFill="1" applyBorder="1" applyAlignment="1">
      <alignment horizontal="right"/>
    </xf>
    <xf numFmtId="164" fontId="1" fillId="0" borderId="5" xfId="0" applyNumberFormat="1" applyFont="1" applyFill="1" applyBorder="1" applyAlignment="1">
      <alignment horizontal="right"/>
    </xf>
    <xf numFmtId="0" fontId="0" fillId="0" borderId="25" xfId="0" applyFill="1" applyBorder="1" applyAlignment="1">
      <alignment horizontal="right" vertical="center"/>
    </xf>
    <xf numFmtId="164" fontId="18" fillId="0" borderId="0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164" fontId="9" fillId="0" borderId="11" xfId="0" applyNumberFormat="1" applyFont="1" applyFill="1" applyBorder="1" applyAlignment="1">
      <alignment horizontal="right"/>
    </xf>
    <xf numFmtId="164" fontId="1" fillId="0" borderId="6" xfId="0" applyNumberFormat="1" applyFont="1" applyFill="1" applyBorder="1" applyAlignment="1">
      <alignment horizontal="right"/>
    </xf>
    <xf numFmtId="164" fontId="9" fillId="0" borderId="0" xfId="0" applyNumberFormat="1" applyFont="1" applyFill="1" applyBorder="1" applyAlignment="1">
      <alignment horizontal="right"/>
    </xf>
    <xf numFmtId="3" fontId="17" fillId="0" borderId="0" xfId="0" applyNumberFormat="1" applyFont="1" applyFill="1" applyBorder="1" applyAlignment="1">
      <alignment horizontal="right"/>
    </xf>
    <xf numFmtId="164" fontId="17" fillId="0" borderId="0" xfId="0" applyNumberFormat="1" applyFont="1" applyFill="1" applyBorder="1" applyAlignment="1">
      <alignment horizontal="right"/>
    </xf>
    <xf numFmtId="164" fontId="15" fillId="0" borderId="8" xfId="0" applyNumberFormat="1" applyFont="1" applyFill="1" applyBorder="1" applyAlignment="1">
      <alignment horizontal="right"/>
    </xf>
    <xf numFmtId="0" fontId="38" fillId="0" borderId="0" xfId="0" applyFont="1" applyFill="1" applyAlignment="1">
      <alignment horizontal="right"/>
    </xf>
    <xf numFmtId="0" fontId="0" fillId="7" borderId="0" xfId="0" applyFill="1" applyAlignment="1">
      <alignment horizontal="right"/>
    </xf>
    <xf numFmtId="0" fontId="0" fillId="8" borderId="0" xfId="0" applyFill="1" applyAlignment="1">
      <alignment horizontal="right"/>
    </xf>
    <xf numFmtId="0" fontId="0" fillId="10" borderId="0" xfId="0" applyFill="1" applyAlignment="1">
      <alignment horizontal="right"/>
    </xf>
    <xf numFmtId="3" fontId="0" fillId="0" borderId="0" xfId="0" applyNumberFormat="1" applyFill="1" applyAlignment="1">
      <alignment horizontal="right"/>
    </xf>
    <xf numFmtId="4" fontId="8" fillId="0" borderId="1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  <xf numFmtId="4" fontId="9" fillId="0" borderId="4" xfId="0" applyNumberFormat="1" applyFont="1" applyFill="1" applyBorder="1" applyAlignment="1">
      <alignment horizontal="right"/>
    </xf>
    <xf numFmtId="4" fontId="12" fillId="0" borderId="4" xfId="0" applyNumberFormat="1" applyFont="1" applyFill="1" applyBorder="1" applyAlignment="1">
      <alignment horizontal="right"/>
    </xf>
    <xf numFmtId="4" fontId="8" fillId="0" borderId="25" xfId="0" applyNumberFormat="1" applyFont="1" applyFill="1" applyBorder="1" applyAlignment="1">
      <alignment horizontal="right" vertical="center" wrapText="1"/>
    </xf>
    <xf numFmtId="4" fontId="0" fillId="0" borderId="25" xfId="0" applyNumberFormat="1" applyFill="1" applyBorder="1" applyAlignment="1">
      <alignment horizontal="right" vertical="center"/>
    </xf>
    <xf numFmtId="4" fontId="2" fillId="2" borderId="8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right" vertical="center"/>
    </xf>
    <xf numFmtId="4" fontId="12" fillId="0" borderId="4" xfId="0" applyNumberFormat="1" applyFont="1" applyFill="1" applyBorder="1" applyAlignment="1">
      <alignment horizontal="right" vertical="center"/>
    </xf>
    <xf numFmtId="4" fontId="12" fillId="0" borderId="9" xfId="0" applyNumberFormat="1" applyFont="1" applyFill="1" applyBorder="1" applyAlignment="1">
      <alignment horizontal="right"/>
    </xf>
    <xf numFmtId="4" fontId="22" fillId="0" borderId="0" xfId="0" applyNumberFormat="1" applyFont="1" applyFill="1" applyAlignment="1">
      <alignment horizontal="right"/>
    </xf>
    <xf numFmtId="4" fontId="9" fillId="0" borderId="0" xfId="0" applyNumberFormat="1" applyFont="1" applyFill="1" applyBorder="1" applyAlignment="1">
      <alignment horizontal="right"/>
    </xf>
    <xf numFmtId="0" fontId="17" fillId="0" borderId="0" xfId="0" applyFont="1" applyFill="1" applyBorder="1" applyAlignment="1">
      <alignment horizontal="right"/>
    </xf>
    <xf numFmtId="4" fontId="17" fillId="0" borderId="0" xfId="0" applyNumberFormat="1" applyFont="1" applyFill="1" applyBorder="1" applyAlignment="1">
      <alignment horizontal="right"/>
    </xf>
    <xf numFmtId="4" fontId="15" fillId="0" borderId="8" xfId="0" applyNumberFormat="1" applyFont="1" applyFill="1" applyBorder="1" applyAlignment="1">
      <alignment horizontal="right"/>
    </xf>
    <xf numFmtId="3" fontId="39" fillId="0" borderId="0" xfId="0" applyNumberFormat="1" applyFont="1" applyFill="1" applyAlignment="1">
      <alignment horizontal="right"/>
    </xf>
    <xf numFmtId="0" fontId="39" fillId="0" borderId="0" xfId="0" applyFont="1" applyFill="1" applyAlignment="1">
      <alignment horizontal="right"/>
    </xf>
    <xf numFmtId="4" fontId="39" fillId="0" borderId="0" xfId="0" applyNumberFormat="1" applyFont="1" applyFill="1" applyAlignment="1">
      <alignment horizontal="right"/>
    </xf>
    <xf numFmtId="3" fontId="40" fillId="0" borderId="0" xfId="0" applyNumberFormat="1" applyFont="1" applyFill="1" applyAlignment="1">
      <alignment horizontal="right"/>
    </xf>
    <xf numFmtId="0" fontId="40" fillId="0" borderId="0" xfId="0" applyFont="1" applyFill="1" applyAlignment="1">
      <alignment horizontal="right"/>
    </xf>
    <xf numFmtId="4" fontId="40" fillId="0" borderId="0" xfId="0" applyNumberFormat="1" applyFont="1" applyFill="1" applyAlignment="1">
      <alignment horizontal="right"/>
    </xf>
    <xf numFmtId="0" fontId="3" fillId="0" borderId="0" xfId="0" applyFont="1" applyAlignment="1">
      <alignment horizontal="right"/>
    </xf>
    <xf numFmtId="0" fontId="3" fillId="0" borderId="42" xfId="0" applyFont="1" applyBorder="1" applyAlignment="1">
      <alignment horizontal="right"/>
    </xf>
    <xf numFmtId="3" fontId="6" fillId="0" borderId="0" xfId="0" applyNumberFormat="1" applyFont="1" applyFill="1" applyAlignment="1">
      <alignment horizontal="right"/>
    </xf>
    <xf numFmtId="3" fontId="3" fillId="0" borderId="0" xfId="0" applyNumberFormat="1" applyFont="1" applyFill="1" applyAlignment="1">
      <alignment horizontal="right"/>
    </xf>
    <xf numFmtId="0" fontId="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164" fontId="12" fillId="0" borderId="5" xfId="0" applyNumberFormat="1" applyFont="1" applyFill="1" applyBorder="1" applyAlignment="1">
      <alignment horizontal="right" vertical="center"/>
    </xf>
    <xf numFmtId="4" fontId="10" fillId="0" borderId="13" xfId="0" applyNumberFormat="1" applyFont="1" applyFill="1" applyBorder="1" applyAlignment="1">
      <alignment horizontal="right"/>
    </xf>
    <xf numFmtId="3" fontId="10" fillId="2" borderId="0" xfId="0" applyNumberFormat="1" applyFont="1" applyFill="1" applyBorder="1" applyAlignment="1">
      <alignment horizontal="right" vertical="center"/>
    </xf>
    <xf numFmtId="4" fontId="12" fillId="2" borderId="13" xfId="0" applyNumberFormat="1" applyFont="1" applyFill="1" applyBorder="1" applyAlignment="1">
      <alignment horizontal="right" vertical="center"/>
    </xf>
    <xf numFmtId="4" fontId="10" fillId="2" borderId="13" xfId="0" applyNumberFormat="1" applyFont="1" applyFill="1" applyBorder="1" applyAlignment="1">
      <alignment horizontal="right" vertical="center"/>
    </xf>
    <xf numFmtId="3" fontId="11" fillId="2" borderId="27" xfId="0" applyNumberFormat="1" applyFont="1" applyFill="1" applyBorder="1" applyAlignment="1">
      <alignment horizontal="right" vertical="center"/>
    </xf>
    <xf numFmtId="4" fontId="10" fillId="0" borderId="28" xfId="0" applyNumberFormat="1" applyFont="1" applyFill="1" applyBorder="1" applyAlignment="1">
      <alignment horizontal="right" vertical="center"/>
    </xf>
    <xf numFmtId="164" fontId="12" fillId="0" borderId="6" xfId="0" applyNumberFormat="1" applyFont="1" applyFill="1" applyBorder="1" applyAlignment="1">
      <alignment horizontal="right" vertical="center"/>
    </xf>
    <xf numFmtId="0" fontId="2" fillId="2" borderId="31" xfId="0" applyFont="1" applyFill="1" applyBorder="1" applyAlignment="1">
      <alignment horizontal="right"/>
    </xf>
    <xf numFmtId="164" fontId="1" fillId="0" borderId="31" xfId="0" applyNumberFormat="1" applyFont="1" applyFill="1" applyBorder="1" applyAlignment="1">
      <alignment horizontal="right" vertical="center"/>
    </xf>
    <xf numFmtId="165" fontId="7" fillId="0" borderId="8" xfId="0" applyNumberFormat="1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164" fontId="9" fillId="0" borderId="5" xfId="0" applyNumberFormat="1" applyFont="1" applyFill="1" applyBorder="1" applyAlignment="1">
      <alignment horizontal="right" vertical="center"/>
    </xf>
    <xf numFmtId="4" fontId="10" fillId="2" borderId="27" xfId="0" applyNumberFormat="1" applyFont="1" applyFill="1" applyBorder="1" applyAlignment="1">
      <alignment horizontal="right" vertical="center"/>
    </xf>
    <xf numFmtId="4" fontId="10" fillId="2" borderId="28" xfId="0" applyNumberFormat="1" applyFont="1" applyFill="1" applyBorder="1" applyAlignment="1">
      <alignment horizontal="right" vertical="center"/>
    </xf>
    <xf numFmtId="164" fontId="12" fillId="0" borderId="0" xfId="0" applyNumberFormat="1" applyFont="1" applyFill="1" applyBorder="1" applyAlignment="1">
      <alignment horizontal="right" vertical="center"/>
    </xf>
    <xf numFmtId="165" fontId="7" fillId="0" borderId="0" xfId="0" applyNumberFormat="1" applyFont="1" applyBorder="1" applyAlignment="1">
      <alignment horizontal="right"/>
    </xf>
    <xf numFmtId="4" fontId="10" fillId="2" borderId="0" xfId="0" applyNumberFormat="1" applyFont="1" applyFill="1" applyBorder="1" applyAlignment="1">
      <alignment horizontal="right"/>
    </xf>
    <xf numFmtId="164" fontId="10" fillId="0" borderId="5" xfId="0" applyNumberFormat="1" applyFont="1" applyFill="1" applyBorder="1" applyAlignment="1">
      <alignment horizontal="right" vertical="center"/>
    </xf>
    <xf numFmtId="4" fontId="10" fillId="2" borderId="27" xfId="0" applyNumberFormat="1" applyFont="1" applyFill="1" applyBorder="1" applyAlignment="1">
      <alignment horizontal="right"/>
    </xf>
    <xf numFmtId="164" fontId="10" fillId="0" borderId="6" xfId="0" applyNumberFormat="1" applyFont="1" applyFill="1" applyBorder="1" applyAlignment="1">
      <alignment horizontal="right" vertical="center"/>
    </xf>
    <xf numFmtId="4" fontId="10" fillId="2" borderId="31" xfId="0" applyNumberFormat="1" applyFont="1" applyFill="1" applyBorder="1" applyAlignment="1">
      <alignment horizontal="right"/>
    </xf>
    <xf numFmtId="4" fontId="10" fillId="2" borderId="0" xfId="0" applyNumberFormat="1" applyFont="1" applyFill="1" applyAlignment="1">
      <alignment horizontal="right"/>
    </xf>
    <xf numFmtId="4" fontId="11" fillId="2" borderId="31" xfId="0" applyNumberFormat="1" applyFont="1" applyFill="1" applyBorder="1" applyAlignment="1">
      <alignment horizontal="right" vertical="center"/>
    </xf>
    <xf numFmtId="164" fontId="10" fillId="0" borderId="34" xfId="0" applyNumberFormat="1" applyFont="1" applyFill="1" applyBorder="1" applyAlignment="1">
      <alignment horizontal="right" vertical="center"/>
    </xf>
    <xf numFmtId="4" fontId="10" fillId="2" borderId="25" xfId="0" applyNumberFormat="1" applyFont="1" applyFill="1" applyBorder="1" applyAlignment="1">
      <alignment horizontal="right"/>
    </xf>
    <xf numFmtId="4" fontId="11" fillId="2" borderId="25" xfId="0" applyNumberFormat="1" applyFont="1" applyFill="1" applyBorder="1" applyAlignment="1">
      <alignment horizontal="right" vertical="center"/>
    </xf>
    <xf numFmtId="164" fontId="10" fillId="0" borderId="25" xfId="0" applyNumberFormat="1" applyFont="1" applyFill="1" applyBorder="1" applyAlignment="1">
      <alignment horizontal="right" vertical="center"/>
    </xf>
    <xf numFmtId="3" fontId="14" fillId="2" borderId="27" xfId="0" applyNumberFormat="1" applyFont="1" applyFill="1" applyBorder="1" applyAlignment="1">
      <alignment horizontal="right" vertical="center"/>
    </xf>
    <xf numFmtId="4" fontId="14" fillId="2" borderId="28" xfId="0" applyNumberFormat="1" applyFont="1" applyFill="1" applyBorder="1" applyAlignment="1">
      <alignment horizontal="right" vertical="center"/>
    </xf>
    <xf numFmtId="3" fontId="6" fillId="2" borderId="31" xfId="0" applyNumberFormat="1" applyFont="1" applyFill="1" applyBorder="1" applyAlignment="1">
      <alignment horizontal="right" vertical="center"/>
    </xf>
    <xf numFmtId="3" fontId="6" fillId="2" borderId="0" xfId="0" applyNumberFormat="1" applyFont="1" applyFill="1" applyBorder="1" applyAlignment="1">
      <alignment horizontal="right" vertical="center"/>
    </xf>
    <xf numFmtId="4" fontId="6" fillId="2" borderId="31" xfId="0" applyNumberFormat="1" applyFont="1" applyFill="1" applyBorder="1" applyAlignment="1">
      <alignment horizontal="right" vertical="center"/>
    </xf>
    <xf numFmtId="164" fontId="12" fillId="0" borderId="31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right" wrapText="1"/>
    </xf>
    <xf numFmtId="0" fontId="0" fillId="2" borderId="0" xfId="0" applyFill="1" applyAlignment="1">
      <alignment horizontal="right"/>
    </xf>
    <xf numFmtId="4" fontId="3" fillId="0" borderId="0" xfId="1" applyNumberFormat="1" applyAlignment="1">
      <alignment horizontal="right"/>
    </xf>
    <xf numFmtId="4" fontId="32" fillId="6" borderId="0" xfId="1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" fontId="33" fillId="2" borderId="0" xfId="0" applyNumberFormat="1" applyFont="1" applyFill="1" applyAlignment="1">
      <alignment horizontal="right"/>
    </xf>
    <xf numFmtId="4" fontId="3" fillId="6" borderId="0" xfId="1" applyNumberFormat="1" applyFill="1" applyAlignment="1">
      <alignment horizontal="right"/>
    </xf>
    <xf numFmtId="4" fontId="10" fillId="0" borderId="5" xfId="1" applyNumberFormat="1" applyFont="1" applyBorder="1"/>
    <xf numFmtId="4" fontId="20" fillId="0" borderId="5" xfId="1" applyNumberFormat="1" applyFont="1" applyBorder="1"/>
    <xf numFmtId="0" fontId="41" fillId="0" borderId="0" xfId="1" applyFont="1"/>
    <xf numFmtId="0" fontId="42" fillId="0" borderId="0" xfId="1" applyFont="1"/>
    <xf numFmtId="4" fontId="42" fillId="0" borderId="1" xfId="1" applyNumberFormat="1" applyFont="1" applyFill="1" applyBorder="1" applyAlignment="1">
      <alignment horizontal="center" vertical="center" wrapText="1"/>
    </xf>
    <xf numFmtId="0" fontId="42" fillId="0" borderId="2" xfId="1" applyFont="1" applyFill="1" applyBorder="1" applyAlignment="1">
      <alignment horizontal="center" vertical="center"/>
    </xf>
    <xf numFmtId="4" fontId="42" fillId="0" borderId="1" xfId="1" applyNumberFormat="1" applyFont="1" applyFill="1" applyBorder="1" applyAlignment="1">
      <alignment horizontal="center" vertical="center"/>
    </xf>
    <xf numFmtId="4" fontId="41" fillId="0" borderId="0" xfId="1" applyNumberFormat="1" applyFont="1"/>
    <xf numFmtId="4" fontId="42" fillId="0" borderId="0" xfId="1" applyNumberFormat="1" applyFont="1"/>
    <xf numFmtId="0" fontId="41" fillId="0" borderId="0" xfId="1" applyFont="1" applyAlignment="1">
      <alignment horizontal="right"/>
    </xf>
    <xf numFmtId="49" fontId="13" fillId="2" borderId="25" xfId="2" applyNumberFormat="1" applyFont="1" applyFill="1" applyBorder="1" applyAlignment="1">
      <alignment vertical="top" wrapText="1"/>
    </xf>
    <xf numFmtId="164" fontId="3" fillId="0" borderId="0" xfId="1" applyNumberFormat="1" applyFont="1" applyFill="1" applyBorder="1" applyAlignment="1">
      <alignment horizontal="right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25" xfId="0" applyFont="1" applyFill="1" applyBorder="1" applyAlignment="1">
      <alignment horizontal="left" vertical="center"/>
    </xf>
    <xf numFmtId="0" fontId="9" fillId="0" borderId="2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19" fillId="0" borderId="12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13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19" fillId="0" borderId="26" xfId="0" applyFont="1" applyFill="1" applyBorder="1" applyAlignment="1">
      <alignment horizontal="left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28" xfId="0" applyFont="1" applyFill="1" applyBorder="1" applyAlignment="1">
      <alignment horizontal="left" vertical="center" wrapText="1"/>
    </xf>
    <xf numFmtId="0" fontId="2" fillId="0" borderId="0" xfId="1" applyFont="1" applyFill="1" applyAlignment="1">
      <alignment horizontal="justify" wrapText="1"/>
    </xf>
    <xf numFmtId="0" fontId="3" fillId="0" borderId="0" xfId="1" applyAlignment="1">
      <alignment horizontal="justify" wrapText="1"/>
    </xf>
    <xf numFmtId="0" fontId="8" fillId="0" borderId="43" xfId="1" applyFont="1" applyFill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8" fillId="0" borderId="43" xfId="1" applyFont="1" applyFill="1" applyBorder="1" applyAlignment="1">
      <alignment horizontal="center" vertical="center"/>
    </xf>
    <xf numFmtId="0" fontId="3" fillId="0" borderId="2" xfId="1" applyBorder="1" applyAlignment="1">
      <alignment horizontal="center" vertical="center"/>
    </xf>
  </cellXfs>
  <cellStyles count="10">
    <cellStyle name="Normální" xfId="0" builtinId="0"/>
    <cellStyle name="Normální 2" xfId="1"/>
    <cellStyle name="normální_07-09-Návrh investic PO OKPP na rok 2008 - PRIORITY - konečný přehled -17 10 2007" xfId="2"/>
    <cellStyle name="normální_investice 2005- doprava-upravený2" xfId="3"/>
    <cellStyle name="normální_Investice 2005-sociální, zdravotní, kutura" xfId="4"/>
    <cellStyle name="normální_Investice 2005-sociální, zdravotní, kutura 2" xfId="5"/>
    <cellStyle name="normální_Kultura -Přehled investic PO OKPP na rok 2009 - 3.10.2008" xfId="6"/>
    <cellStyle name="normální_Sociální - investice a opravy 2009 - sumarizace vč. prior - 10-12-2008" xfId="7"/>
    <cellStyle name="normální_Studie IZ - silnice 2003" xfId="8"/>
    <cellStyle name="normální_Studie IZ - silnice 2003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2133600</xdr:colOff>
      <xdr:row>75</xdr:row>
      <xdr:rowOff>0</xdr:rowOff>
    </xdr:from>
    <xdr:to>
      <xdr:col>0</xdr:col>
      <xdr:colOff>2133600</xdr:colOff>
      <xdr:row>75</xdr:row>
      <xdr:rowOff>9525</xdr:rowOff>
    </xdr:to>
    <xdr:sp macro="" textlink="">
      <xdr:nvSpPr>
        <xdr:cNvPr id="1170" name="Line 1"/>
        <xdr:cNvSpPr>
          <a:spLocks noChangeShapeType="1"/>
        </xdr:cNvSpPr>
      </xdr:nvSpPr>
      <xdr:spPr bwMode="auto">
        <a:xfrm>
          <a:off x="2133600" y="15516225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2133600</xdr:colOff>
      <xdr:row>245</xdr:row>
      <xdr:rowOff>0</xdr:rowOff>
    </xdr:from>
    <xdr:to>
      <xdr:col>0</xdr:col>
      <xdr:colOff>2133600</xdr:colOff>
      <xdr:row>245</xdr:row>
      <xdr:rowOff>9525</xdr:rowOff>
    </xdr:to>
    <xdr:sp macro="" textlink="">
      <xdr:nvSpPr>
        <xdr:cNvPr id="8279" name="Line 1"/>
        <xdr:cNvSpPr>
          <a:spLocks noChangeShapeType="1"/>
        </xdr:cNvSpPr>
      </xdr:nvSpPr>
      <xdr:spPr bwMode="auto">
        <a:xfrm>
          <a:off x="2133600" y="45843825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1000125</xdr:colOff>
      <xdr:row>29</xdr:row>
      <xdr:rowOff>0</xdr:rowOff>
    </xdr:from>
    <xdr:to>
      <xdr:col>4</xdr:col>
      <xdr:colOff>28575</xdr:colOff>
      <xdr:row>29</xdr:row>
      <xdr:rowOff>0</xdr:rowOff>
    </xdr:to>
    <xdr:sp macro="" textlink="">
      <xdr:nvSpPr>
        <xdr:cNvPr id="9311" name="AutoShape 1"/>
        <xdr:cNvSpPr>
          <a:spLocks/>
        </xdr:cNvSpPr>
      </xdr:nvSpPr>
      <xdr:spPr bwMode="auto">
        <a:xfrm>
          <a:off x="6000750" y="5486400"/>
          <a:ext cx="409575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ypusova/Plocha/z&#225;v&#283;re&#269;n&#253;%20&#250;&#269;et/z&#225;v&#283;re&#269;n&#253;%20&#250;&#269;et%202010/Kopie%20-%205.%20-%20Z&#225;v&#283;re&#269;n&#253;%20&#250;&#269;et%202010%20-%20P&#345;&#237;loha%20&#269;.%209%20%20(financov&#225;n&#237;%20z%20EIB,%20KB%20a%20SFDI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ace"/>
      <sheetName val="a) EIB"/>
      <sheetName val="b) KB"/>
      <sheetName val="c) SFDI"/>
      <sheetName val="d) OK"/>
      <sheetName val="e) povodně"/>
      <sheetName val="f) dotace"/>
    </sheetNames>
    <sheetDataSet>
      <sheetData sheetId="0"/>
      <sheetData sheetId="1">
        <row r="8">
          <cell r="F8">
            <v>13495000</v>
          </cell>
          <cell r="G8">
            <v>86039856</v>
          </cell>
          <cell r="H8">
            <v>52515054.700000003</v>
          </cell>
        </row>
        <row r="20">
          <cell r="F20">
            <v>0</v>
          </cell>
          <cell r="G20">
            <v>20870514.09</v>
          </cell>
          <cell r="H20">
            <v>20870514.09</v>
          </cell>
        </row>
        <row r="32">
          <cell r="F32">
            <v>30134000</v>
          </cell>
          <cell r="G32">
            <v>72197080.25</v>
          </cell>
          <cell r="H32">
            <v>45018474.839999996</v>
          </cell>
        </row>
        <row r="53">
          <cell r="F53">
            <v>117050000</v>
          </cell>
          <cell r="G53">
            <v>250663221.83000001</v>
          </cell>
          <cell r="H53">
            <v>172934131.95999998</v>
          </cell>
        </row>
        <row r="73">
          <cell r="F73">
            <v>26000000</v>
          </cell>
          <cell r="G73">
            <v>275200000</v>
          </cell>
          <cell r="H73">
            <v>275200000</v>
          </cell>
        </row>
        <row r="103">
          <cell r="F103">
            <v>6700000</v>
          </cell>
          <cell r="G103">
            <v>8851000</v>
          </cell>
          <cell r="H103">
            <v>8609840</v>
          </cell>
        </row>
        <row r="113">
          <cell r="F113">
            <v>13100000</v>
          </cell>
          <cell r="G113">
            <v>56559660</v>
          </cell>
          <cell r="H113">
            <v>53878355.619999997</v>
          </cell>
        </row>
        <row r="121">
          <cell r="F121">
            <v>0</v>
          </cell>
          <cell r="G121">
            <v>4732000</v>
          </cell>
          <cell r="H121">
            <v>4732000</v>
          </cell>
        </row>
        <row r="131">
          <cell r="F131">
            <v>0</v>
          </cell>
          <cell r="G131">
            <v>2940000</v>
          </cell>
          <cell r="H131">
            <v>2940000</v>
          </cell>
        </row>
      </sheetData>
      <sheetData sheetId="2">
        <row r="9">
          <cell r="B9">
            <v>0</v>
          </cell>
          <cell r="C9">
            <v>84987832</v>
          </cell>
          <cell r="D9">
            <v>84347882.989999995</v>
          </cell>
        </row>
        <row r="56">
          <cell r="B56">
            <v>0</v>
          </cell>
          <cell r="C56">
            <v>40690281.579999998</v>
          </cell>
          <cell r="D56">
            <v>35305512.5</v>
          </cell>
        </row>
        <row r="75">
          <cell r="B75">
            <v>0</v>
          </cell>
          <cell r="C75">
            <v>9542154</v>
          </cell>
          <cell r="D75">
            <v>9542154</v>
          </cell>
        </row>
        <row r="106">
          <cell r="B106">
            <v>0</v>
          </cell>
          <cell r="C106">
            <v>11097000</v>
          </cell>
          <cell r="D106">
            <v>7891430</v>
          </cell>
        </row>
        <row r="122">
          <cell r="B122">
            <v>0</v>
          </cell>
          <cell r="C122">
            <v>10912250</v>
          </cell>
          <cell r="D122">
            <v>7445729.2199999997</v>
          </cell>
        </row>
        <row r="129">
          <cell r="B129">
            <v>0</v>
          </cell>
          <cell r="C129">
            <v>4989264.3</v>
          </cell>
          <cell r="D129">
            <v>4989264.3</v>
          </cell>
        </row>
        <row r="155">
          <cell r="B155">
            <v>0</v>
          </cell>
          <cell r="C155">
            <v>15650140</v>
          </cell>
          <cell r="D155">
            <v>13920455.48</v>
          </cell>
        </row>
        <row r="167">
          <cell r="B167">
            <v>0</v>
          </cell>
          <cell r="C167">
            <v>8971078.120000001</v>
          </cell>
          <cell r="D167">
            <v>8971078.120000001</v>
          </cell>
        </row>
      </sheetData>
      <sheetData sheetId="3">
        <row r="18">
          <cell r="F18">
            <v>0</v>
          </cell>
          <cell r="G18">
            <v>30000000</v>
          </cell>
          <cell r="H18">
            <v>22246652.620000001</v>
          </cell>
        </row>
      </sheetData>
      <sheetData sheetId="4">
        <row r="8">
          <cell r="B8">
            <v>89964000</v>
          </cell>
          <cell r="C8">
            <v>19434123</v>
          </cell>
          <cell r="D8">
            <v>16824870</v>
          </cell>
        </row>
        <row r="114">
          <cell r="B114">
            <v>0</v>
          </cell>
          <cell r="C114">
            <v>2574500</v>
          </cell>
          <cell r="D114">
            <v>2574500</v>
          </cell>
        </row>
        <row r="127">
          <cell r="B127">
            <v>96891000</v>
          </cell>
          <cell r="C127">
            <v>47204040.420000002</v>
          </cell>
          <cell r="D127">
            <v>23098060.560000002</v>
          </cell>
        </row>
        <row r="221">
          <cell r="B221">
            <v>10875000</v>
          </cell>
          <cell r="C221">
            <v>1753628</v>
          </cell>
          <cell r="D221">
            <v>1753628</v>
          </cell>
        </row>
        <row r="263">
          <cell r="B263">
            <v>62088000</v>
          </cell>
          <cell r="C263">
            <v>51160080</v>
          </cell>
          <cell r="D263">
            <v>39146316.410000004</v>
          </cell>
        </row>
        <row r="309">
          <cell r="B309">
            <v>114000000</v>
          </cell>
          <cell r="C309">
            <v>58800000</v>
          </cell>
          <cell r="D309">
            <v>58800000</v>
          </cell>
        </row>
        <row r="339">
          <cell r="B339">
            <v>33040000</v>
          </cell>
          <cell r="C339">
            <v>23716190</v>
          </cell>
          <cell r="D339">
            <v>4988410</v>
          </cell>
        </row>
        <row r="367">
          <cell r="B367">
            <v>5160000</v>
          </cell>
          <cell r="C367">
            <v>1985479</v>
          </cell>
          <cell r="D367">
            <v>1985479</v>
          </cell>
        </row>
        <row r="399">
          <cell r="B399">
            <v>18310000</v>
          </cell>
          <cell r="C399">
            <v>10057556</v>
          </cell>
          <cell r="D399">
            <v>8640072.6999999993</v>
          </cell>
        </row>
        <row r="426">
          <cell r="B426">
            <v>26826000</v>
          </cell>
          <cell r="C426">
            <v>37207446.299999997</v>
          </cell>
          <cell r="D426">
            <v>35566522</v>
          </cell>
        </row>
        <row r="451">
          <cell r="B451">
            <v>9450000</v>
          </cell>
          <cell r="C451">
            <v>325000</v>
          </cell>
          <cell r="D451">
            <v>325000</v>
          </cell>
        </row>
        <row r="514">
          <cell r="B514">
            <v>12970000</v>
          </cell>
          <cell r="C514">
            <v>11150863.800000001</v>
          </cell>
          <cell r="D514">
            <v>8947257.1999999993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107"/>
  <sheetViews>
    <sheetView showGridLines="0" view="pageBreakPreview" topLeftCell="A10" zoomScaleNormal="100" zoomScaleSheetLayoutView="100" workbookViewId="0">
      <selection activeCell="G20" sqref="G20"/>
    </sheetView>
  </sheetViews>
  <sheetFormatPr defaultRowHeight="12.75" x14ac:dyDescent="0.2"/>
  <cols>
    <col min="1" max="1" width="29.140625" style="117" customWidth="1"/>
    <col min="2" max="2" width="19.5703125" style="117" customWidth="1"/>
    <col min="3" max="4" width="21.85546875" style="117" bestFit="1" customWidth="1"/>
    <col min="5" max="5" width="3.28515625" style="117" customWidth="1"/>
    <col min="6" max="6" width="22.5703125" style="117" customWidth="1"/>
    <col min="7" max="7" width="23.7109375" style="117" customWidth="1"/>
    <col min="8" max="8" width="16.28515625" style="117" bestFit="1" customWidth="1"/>
    <col min="9" max="9" width="18.85546875" style="117" customWidth="1"/>
    <col min="10" max="16384" width="9.140625" style="117"/>
  </cols>
  <sheetData>
    <row r="1" spans="1:9" ht="18" x14ac:dyDescent="0.25">
      <c r="A1" s="137" t="s">
        <v>693</v>
      </c>
      <c r="B1" s="138"/>
      <c r="C1" s="138"/>
      <c r="D1" s="138"/>
    </row>
    <row r="2" spans="1:9" ht="18.75" thickBot="1" x14ac:dyDescent="0.3">
      <c r="A2" s="139"/>
      <c r="B2" s="140"/>
      <c r="C2" s="140"/>
      <c r="D2" s="141" t="s">
        <v>27</v>
      </c>
    </row>
    <row r="3" spans="1:9" ht="14.25" thickTop="1" thickBot="1" x14ac:dyDescent="0.25">
      <c r="A3" s="142"/>
      <c r="B3" s="143" t="s">
        <v>0</v>
      </c>
      <c r="C3" s="144" t="s">
        <v>1</v>
      </c>
      <c r="D3" s="145" t="s">
        <v>13</v>
      </c>
    </row>
    <row r="4" spans="1:9" ht="16.5" thickTop="1" x14ac:dyDescent="0.25">
      <c r="A4" s="146" t="s">
        <v>16</v>
      </c>
      <c r="B4" s="447">
        <f>SUM(B5:B8)</f>
        <v>263350000</v>
      </c>
      <c r="C4" s="147">
        <f>SUM(C5:C8)</f>
        <v>365421805.26999998</v>
      </c>
      <c r="D4" s="148">
        <f>SUM(D5:D8)</f>
        <v>314977716.43000007</v>
      </c>
    </row>
    <row r="5" spans="1:9" x14ac:dyDescent="0.2">
      <c r="A5" s="149" t="s">
        <v>205</v>
      </c>
      <c r="B5" s="446">
        <f>'8d. OK 2011'!B487</f>
        <v>118391000</v>
      </c>
      <c r="C5" s="150">
        <f>'8d. OK 2011'!C487</f>
        <v>54337857.880000003</v>
      </c>
      <c r="D5" s="541">
        <f>'8d. OK 2011'!D487</f>
        <v>45635375.089999996</v>
      </c>
    </row>
    <row r="6" spans="1:9" x14ac:dyDescent="0.2">
      <c r="A6" s="149" t="s">
        <v>206</v>
      </c>
      <c r="B6" s="446">
        <f>'8b. KB 2011'!B109</f>
        <v>0</v>
      </c>
      <c r="C6" s="150">
        <f>'8b. KB 2011'!D109</f>
        <v>66784771.719999999</v>
      </c>
      <c r="D6" s="541">
        <f>'8b. KB 2011'!E109</f>
        <v>64374111.180000007</v>
      </c>
    </row>
    <row r="7" spans="1:9" x14ac:dyDescent="0.2">
      <c r="A7" s="149" t="s">
        <v>207</v>
      </c>
      <c r="B7" s="446">
        <f>'8a. EIB - Evropské programy'!F133</f>
        <v>144959000</v>
      </c>
      <c r="C7" s="150">
        <f>'8a. EIB - Evropské programy'!G133</f>
        <v>237675276.93000001</v>
      </c>
      <c r="D7" s="541">
        <f>'8a. EIB - Evropské programy'!H133</f>
        <v>198344331.42000002</v>
      </c>
    </row>
    <row r="8" spans="1:9" x14ac:dyDescent="0.2">
      <c r="A8" s="149" t="s">
        <v>208</v>
      </c>
      <c r="B8" s="446">
        <f>'f) dotace'!B11</f>
        <v>0</v>
      </c>
      <c r="C8" s="150">
        <f>'f) dotace'!C11</f>
        <v>6623898.7400000002</v>
      </c>
      <c r="D8" s="541">
        <f>'f) dotace'!D11</f>
        <v>6623898.7400000002</v>
      </c>
    </row>
    <row r="9" spans="1:9" ht="15.75" x14ac:dyDescent="0.25">
      <c r="A9" s="146" t="s">
        <v>18</v>
      </c>
      <c r="B9" s="447">
        <f>SUM(B10:B12)</f>
        <v>221564000</v>
      </c>
      <c r="C9" s="147">
        <f>SUM(C10:C12)</f>
        <v>192880332.63</v>
      </c>
      <c r="D9" s="148">
        <f>SUM(D10:D12)</f>
        <v>169343858.03</v>
      </c>
    </row>
    <row r="10" spans="1:9" x14ac:dyDescent="0.2">
      <c r="A10" s="149" t="s">
        <v>205</v>
      </c>
      <c r="B10" s="446">
        <f>'8d. OK 2011'!B488</f>
        <v>122648000</v>
      </c>
      <c r="C10" s="150">
        <f>'8d. OK 2011'!C488</f>
        <v>45729996.32</v>
      </c>
      <c r="D10" s="541">
        <f>'8d. OK 2011'!D488</f>
        <v>33009712.52</v>
      </c>
      <c r="G10" s="151"/>
      <c r="H10" s="152"/>
      <c r="I10" s="153"/>
    </row>
    <row r="11" spans="1:9" x14ac:dyDescent="0.2">
      <c r="A11" s="149" t="s">
        <v>206</v>
      </c>
      <c r="B11" s="446">
        <f>'8b. KB 2011'!B110</f>
        <v>0</v>
      </c>
      <c r="C11" s="150">
        <f>'8b. KB 2011'!D110</f>
        <v>55835150.609999999</v>
      </c>
      <c r="D11" s="541">
        <f>'8b. KB 2011'!E110</f>
        <v>54031563.219999999</v>
      </c>
      <c r="G11" s="138"/>
      <c r="H11" s="138"/>
      <c r="I11" s="138"/>
    </row>
    <row r="12" spans="1:9" x14ac:dyDescent="0.2">
      <c r="A12" s="149" t="s">
        <v>207</v>
      </c>
      <c r="B12" s="446">
        <f>'8a. EIB - Evropské programy'!F134</f>
        <v>98916000</v>
      </c>
      <c r="C12" s="150">
        <f>'8a. EIB - Evropské programy'!G134</f>
        <v>91315185.700000003</v>
      </c>
      <c r="D12" s="541">
        <f>'8a. EIB - Evropské programy'!H134</f>
        <v>82302582.290000007</v>
      </c>
    </row>
    <row r="13" spans="1:9" ht="15.75" x14ac:dyDescent="0.25">
      <c r="A13" s="146" t="s">
        <v>20</v>
      </c>
      <c r="B13" s="447">
        <f>SUM(B14:B20)</f>
        <v>480816000</v>
      </c>
      <c r="C13" s="147">
        <f>SUM(C14:C20)</f>
        <v>599411563.58999991</v>
      </c>
      <c r="D13" s="148">
        <f>SUM(D14:D20)</f>
        <v>520418031.71999997</v>
      </c>
    </row>
    <row r="14" spans="1:9" x14ac:dyDescent="0.2">
      <c r="A14" s="149" t="s">
        <v>205</v>
      </c>
      <c r="B14" s="446">
        <f>'8d. OK 2011'!B489</f>
        <v>139381000</v>
      </c>
      <c r="C14" s="150">
        <f>'8d. OK 2011'!C489</f>
        <v>99355501.709999993</v>
      </c>
      <c r="D14" s="541">
        <f>'8d. OK 2011'!D489</f>
        <v>86455241.870000005</v>
      </c>
    </row>
    <row r="15" spans="1:9" x14ac:dyDescent="0.2">
      <c r="A15" s="149" t="s">
        <v>206</v>
      </c>
      <c r="B15" s="446">
        <f>'8b. KB 2011'!B111</f>
        <v>0</v>
      </c>
      <c r="C15" s="150">
        <f>'8b. KB 2011'!D111</f>
        <v>37322719</v>
      </c>
      <c r="D15" s="541">
        <f>'8b. KB 2011'!E111</f>
        <v>35190976.049999997</v>
      </c>
    </row>
    <row r="16" spans="1:9" x14ac:dyDescent="0.2">
      <c r="A16" s="149" t="s">
        <v>207</v>
      </c>
      <c r="B16" s="446">
        <f>'8a. EIB - Evropské programy'!F136</f>
        <v>335531000</v>
      </c>
      <c r="C16" s="150">
        <f>'8a. EIB - Evropské programy'!G136</f>
        <v>425124978.39999998</v>
      </c>
      <c r="D16" s="541">
        <f>'8a. EIB - Evropské programy'!H136</f>
        <v>362704678.03999996</v>
      </c>
    </row>
    <row r="17" spans="1:4" x14ac:dyDescent="0.2">
      <c r="A17" s="149" t="s">
        <v>209</v>
      </c>
      <c r="B17" s="446">
        <f>'8c. SFDI 2011'!F14</f>
        <v>0</v>
      </c>
      <c r="C17" s="150">
        <f>'8c. SFDI 2011'!G14</f>
        <v>22823000</v>
      </c>
      <c r="D17" s="541">
        <f>'8c. SFDI 2011'!H14</f>
        <v>22809821.059999999</v>
      </c>
    </row>
    <row r="18" spans="1:4" x14ac:dyDescent="0.2">
      <c r="A18" s="149" t="s">
        <v>210</v>
      </c>
      <c r="B18" s="446">
        <f>'8e. povodně 2011'!C15</f>
        <v>5904000</v>
      </c>
      <c r="C18" s="150">
        <f>'8e. povodně 2011'!D15</f>
        <v>11982423.48</v>
      </c>
      <c r="D18" s="541">
        <f>'8e. povodně 2011'!E15</f>
        <v>10912125.800000001</v>
      </c>
    </row>
    <row r="19" spans="1:4" x14ac:dyDescent="0.2">
      <c r="A19" s="149" t="s">
        <v>211</v>
      </c>
      <c r="B19" s="446">
        <f>'8e. povodně 2011'!C23</f>
        <v>0</v>
      </c>
      <c r="C19" s="150">
        <f>'8e. povodně 2011'!D23</f>
        <v>1916574</v>
      </c>
      <c r="D19" s="541">
        <f>'8e. povodně 2011'!E23</f>
        <v>1916574</v>
      </c>
    </row>
    <row r="20" spans="1:4" x14ac:dyDescent="0.2">
      <c r="A20" s="149" t="s">
        <v>584</v>
      </c>
      <c r="B20" s="446">
        <f>'f) dotace'!B19</f>
        <v>0</v>
      </c>
      <c r="C20" s="150">
        <f>'f) dotace'!C19</f>
        <v>886367</v>
      </c>
      <c r="D20" s="541">
        <f>'f) dotace'!D19</f>
        <v>428614.9</v>
      </c>
    </row>
    <row r="21" spans="1:4" ht="15.75" x14ac:dyDescent="0.25">
      <c r="A21" s="146" t="s">
        <v>17</v>
      </c>
      <c r="B21" s="447">
        <f>SUM(B22:B24)</f>
        <v>97175000</v>
      </c>
      <c r="C21" s="147">
        <f>SUM(C22:C24)</f>
        <v>98103170.060000002</v>
      </c>
      <c r="D21" s="148">
        <f>SUM(D22:D24)</f>
        <v>77550701.859999999</v>
      </c>
    </row>
    <row r="22" spans="1:4" x14ac:dyDescent="0.2">
      <c r="A22" s="149" t="s">
        <v>205</v>
      </c>
      <c r="B22" s="446">
        <f>'8d. OK 2011'!B490</f>
        <v>84675000</v>
      </c>
      <c r="C22" s="150">
        <f>'8d. OK 2011'!C490</f>
        <v>24836676.25</v>
      </c>
      <c r="D22" s="541">
        <f>'8d. OK 2011'!D490</f>
        <v>19656366.289999999</v>
      </c>
    </row>
    <row r="23" spans="1:4" x14ac:dyDescent="0.2">
      <c r="A23" s="149" t="s">
        <v>206</v>
      </c>
      <c r="B23" s="446">
        <f>'8b. KB 2011'!B112</f>
        <v>0</v>
      </c>
      <c r="C23" s="150">
        <f>'8b. KB 2011'!D112</f>
        <v>68166549.810000002</v>
      </c>
      <c r="D23" s="541">
        <f>'8b. KB 2011'!E112</f>
        <v>52794391.57</v>
      </c>
    </row>
    <row r="24" spans="1:4" x14ac:dyDescent="0.2">
      <c r="A24" s="149" t="s">
        <v>207</v>
      </c>
      <c r="B24" s="446">
        <f>'8a. EIB - Evropské programy'!F135</f>
        <v>12500000</v>
      </c>
      <c r="C24" s="150">
        <f>'8a. EIB - Evropské programy'!G135</f>
        <v>5099944</v>
      </c>
      <c r="D24" s="541">
        <f>'8a. EIB - Evropské programy'!H135</f>
        <v>5099944</v>
      </c>
    </row>
    <row r="25" spans="1:4" ht="15.75" x14ac:dyDescent="0.25">
      <c r="A25" s="146" t="s">
        <v>19</v>
      </c>
      <c r="B25" s="447">
        <f>SUM(B26:B28)</f>
        <v>51285000</v>
      </c>
      <c r="C25" s="147">
        <f>SUM(C26:C28)</f>
        <v>61199082.43</v>
      </c>
      <c r="D25" s="148">
        <f>SUM(D26:D28)</f>
        <v>53862622.430000007</v>
      </c>
    </row>
    <row r="26" spans="1:4" x14ac:dyDescent="0.2">
      <c r="A26" s="149" t="s">
        <v>205</v>
      </c>
      <c r="B26" s="446">
        <f>'8d. OK 2011'!B491</f>
        <v>50452000</v>
      </c>
      <c r="C26" s="150">
        <f>'8d. OK 2011'!C491</f>
        <v>43281014.899999999</v>
      </c>
      <c r="D26" s="541">
        <f>'8d. OK 2011'!D491</f>
        <v>39203846.800000004</v>
      </c>
    </row>
    <row r="27" spans="1:4" x14ac:dyDescent="0.2">
      <c r="A27" s="149" t="s">
        <v>206</v>
      </c>
      <c r="B27" s="446">
        <f>'8b. KB 2011'!B113</f>
        <v>0</v>
      </c>
      <c r="C27" s="150">
        <f>'8b. KB 2011'!D113</f>
        <v>14928250.030000001</v>
      </c>
      <c r="D27" s="541">
        <f>'8b. KB 2011'!E113</f>
        <v>11669902.129999999</v>
      </c>
    </row>
    <row r="28" spans="1:4" x14ac:dyDescent="0.2">
      <c r="A28" s="149" t="s">
        <v>207</v>
      </c>
      <c r="B28" s="446">
        <f>'8a. EIB - Evropské programy'!F137</f>
        <v>833000</v>
      </c>
      <c r="C28" s="150">
        <f>'8a. EIB - Evropské programy'!G137</f>
        <v>2989817.5</v>
      </c>
      <c r="D28" s="541">
        <f>'8a. EIB - Evropské programy'!H137</f>
        <v>2988873.5</v>
      </c>
    </row>
    <row r="29" spans="1:4" ht="15.75" x14ac:dyDescent="0.25">
      <c r="A29" s="146" t="s">
        <v>145</v>
      </c>
      <c r="B29" s="447">
        <f>SUM(B30:B31)</f>
        <v>750000</v>
      </c>
      <c r="C29" s="147">
        <f>SUM(C30:C31)</f>
        <v>54291672</v>
      </c>
      <c r="D29" s="148">
        <f>SUM(D30:D31)</f>
        <v>47237760.770000003</v>
      </c>
    </row>
    <row r="30" spans="1:4" x14ac:dyDescent="0.2">
      <c r="A30" s="149" t="s">
        <v>205</v>
      </c>
      <c r="B30" s="446">
        <f>'8d. OK 2011'!B492</f>
        <v>750000</v>
      </c>
      <c r="C30" s="150">
        <f>'8d. OK 2011'!C492</f>
        <v>1791672</v>
      </c>
      <c r="D30" s="541">
        <f>'8d. OK 2011'!D492</f>
        <v>898553.77</v>
      </c>
    </row>
    <row r="31" spans="1:4" x14ac:dyDescent="0.2">
      <c r="A31" s="149" t="s">
        <v>207</v>
      </c>
      <c r="B31" s="446">
        <f>'8a. EIB - Evropské programy'!F138</f>
        <v>0</v>
      </c>
      <c r="C31" s="150">
        <f>'8a. EIB - Evropské programy'!G138</f>
        <v>52500000</v>
      </c>
      <c r="D31" s="541">
        <f>'8a. EIB - Evropské programy'!H138</f>
        <v>46339207</v>
      </c>
    </row>
    <row r="32" spans="1:4" ht="15.75" x14ac:dyDescent="0.25">
      <c r="A32" s="146" t="s">
        <v>212</v>
      </c>
      <c r="B32" s="447">
        <f>SUM(B33)</f>
        <v>9100000</v>
      </c>
      <c r="C32" s="147">
        <f>SUM(C33)</f>
        <v>30000</v>
      </c>
      <c r="D32" s="148">
        <f>SUM(D33)</f>
        <v>21600</v>
      </c>
    </row>
    <row r="33" spans="1:4" x14ac:dyDescent="0.2">
      <c r="A33" s="149" t="s">
        <v>205</v>
      </c>
      <c r="B33" s="446">
        <f>'8d. OK 2011'!B493</f>
        <v>9100000</v>
      </c>
      <c r="C33" s="150">
        <f>'8d. OK 2011'!C493</f>
        <v>30000</v>
      </c>
      <c r="D33" s="541">
        <f>'8d. OK 2011'!D493</f>
        <v>21600</v>
      </c>
    </row>
    <row r="34" spans="1:4" ht="15.75" x14ac:dyDescent="0.25">
      <c r="A34" s="146" t="s">
        <v>213</v>
      </c>
      <c r="B34" s="447">
        <f>SUM(B35:B35)</f>
        <v>37485000</v>
      </c>
      <c r="C34" s="147">
        <f>SUM(C35:C35)</f>
        <v>31918799</v>
      </c>
      <c r="D34" s="148">
        <f>SUM(D35:D35)</f>
        <v>24626098.399999999</v>
      </c>
    </row>
    <row r="35" spans="1:4" ht="13.5" thickBot="1" x14ac:dyDescent="0.25">
      <c r="A35" s="149" t="s">
        <v>205</v>
      </c>
      <c r="B35" s="446">
        <f>'8d. OK 2011'!B494</f>
        <v>37485000</v>
      </c>
      <c r="C35" s="150">
        <f>'8d. OK 2011'!C494</f>
        <v>31918799</v>
      </c>
      <c r="D35" s="541">
        <f>'8d. OK 2011'!D494</f>
        <v>24626098.399999999</v>
      </c>
    </row>
    <row r="36" spans="1:4" ht="17.25" thickTop="1" thickBot="1" x14ac:dyDescent="0.3">
      <c r="A36" s="156" t="s">
        <v>214</v>
      </c>
      <c r="B36" s="157">
        <f>SUM(B4,B9,B13,B21,B25,B29,B32,B34)</f>
        <v>1161525000</v>
      </c>
      <c r="C36" s="157">
        <f>SUM(C4,C9,C13,C21,C25,C29,C32,C34)</f>
        <v>1403256424.9799998</v>
      </c>
      <c r="D36" s="158">
        <f>SUM(D4,D9,D13,D21,D25,D29,D32,D34)</f>
        <v>1208038389.6400001</v>
      </c>
    </row>
    <row r="37" spans="1:4" s="161" customFormat="1" ht="16.5" thickTop="1" x14ac:dyDescent="0.25">
      <c r="A37" s="159"/>
      <c r="B37" s="160"/>
      <c r="C37" s="160"/>
      <c r="D37" s="160"/>
    </row>
    <row r="38" spans="1:4" s="161" customFormat="1" ht="15.75" x14ac:dyDescent="0.25">
      <c r="A38" s="159"/>
      <c r="B38" s="160"/>
      <c r="C38" s="160"/>
      <c r="D38" s="160"/>
    </row>
    <row r="39" spans="1:4" s="161" customFormat="1" ht="15.75" x14ac:dyDescent="0.25">
      <c r="A39" s="159"/>
      <c r="B39" s="160"/>
      <c r="C39" s="160"/>
      <c r="D39" s="160"/>
    </row>
    <row r="40" spans="1:4" s="161" customFormat="1" ht="15.75" x14ac:dyDescent="0.25">
      <c r="A40" s="162" t="s">
        <v>215</v>
      </c>
      <c r="B40" s="160"/>
      <c r="C40" s="160"/>
      <c r="D40" s="160"/>
    </row>
    <row r="41" spans="1:4" s="161" customFormat="1" ht="16.5" thickBot="1" x14ac:dyDescent="0.3">
      <c r="A41" s="162"/>
      <c r="B41" s="160"/>
      <c r="C41" s="160"/>
      <c r="D41" s="163" t="s">
        <v>27</v>
      </c>
    </row>
    <row r="42" spans="1:4" s="161" customFormat="1" ht="14.25" thickTop="1" thickBot="1" x14ac:dyDescent="0.25">
      <c r="A42" s="142"/>
      <c r="B42" s="143" t="s">
        <v>0</v>
      </c>
      <c r="C42" s="144" t="s">
        <v>1</v>
      </c>
      <c r="D42" s="145" t="s">
        <v>13</v>
      </c>
    </row>
    <row r="43" spans="1:4" s="166" customFormat="1" ht="15" thickTop="1" x14ac:dyDescent="0.2">
      <c r="A43" s="164" t="s">
        <v>216</v>
      </c>
      <c r="B43" s="165">
        <f>SUM(B5,B10,B14,B18,B22,B26,B30,B33,B35)</f>
        <v>568786000</v>
      </c>
      <c r="C43" s="165">
        <f>SUM(C5,C10,C14,C18,C22,C26,C30,C33,C35)</f>
        <v>313263941.53999996</v>
      </c>
      <c r="D43" s="542">
        <f>SUM(D5,D10,D14,D18,D22,D26,D30,D33,D35)</f>
        <v>260418920.54000005</v>
      </c>
    </row>
    <row r="44" spans="1:4" s="166" customFormat="1" ht="14.25" x14ac:dyDescent="0.2">
      <c r="A44" s="164" t="s">
        <v>217</v>
      </c>
      <c r="B44" s="165">
        <f>SUM(B6,B11,B15,B23,B27)</f>
        <v>0</v>
      </c>
      <c r="C44" s="165">
        <f>SUM(C6,C11,C15,C23,C27)</f>
        <v>243037441.16999999</v>
      </c>
      <c r="D44" s="542">
        <f>SUM(D6,D11,D15,D23,D27)</f>
        <v>218060944.14999998</v>
      </c>
    </row>
    <row r="45" spans="1:4" s="166" customFormat="1" ht="14.25" x14ac:dyDescent="0.2">
      <c r="A45" s="164" t="s">
        <v>218</v>
      </c>
      <c r="B45" s="165">
        <f>SUM(B7,B12,B16,B24,B28,B31)</f>
        <v>592739000</v>
      </c>
      <c r="C45" s="165">
        <f>SUM(C7,C12,C16,C24,C28,C31)</f>
        <v>814705202.52999997</v>
      </c>
      <c r="D45" s="542">
        <f>SUM(D7,D12,D16,D24,D28,D31)</f>
        <v>697779616.25</v>
      </c>
    </row>
    <row r="46" spans="1:4" s="166" customFormat="1" ht="14.25" x14ac:dyDescent="0.2">
      <c r="A46" s="164" t="s">
        <v>219</v>
      </c>
      <c r="B46" s="165">
        <f>SUM(B17)</f>
        <v>0</v>
      </c>
      <c r="C46" s="165">
        <f>SUM(C17)</f>
        <v>22823000</v>
      </c>
      <c r="D46" s="542">
        <f>SUM(D17)</f>
        <v>22809821.059999999</v>
      </c>
    </row>
    <row r="47" spans="1:4" s="166" customFormat="1" ht="15" thickBot="1" x14ac:dyDescent="0.25">
      <c r="A47" s="164" t="s">
        <v>220</v>
      </c>
      <c r="B47" s="165">
        <f>SUM(B8,B19,B20)</f>
        <v>0</v>
      </c>
      <c r="C47" s="165">
        <f>SUM(C8,C19,C20)</f>
        <v>9426839.7400000002</v>
      </c>
      <c r="D47" s="542">
        <f>SUM(D8,D19,D20)</f>
        <v>8969087.6400000006</v>
      </c>
    </row>
    <row r="48" spans="1:4" s="167" customFormat="1" ht="17.25" thickTop="1" thickBot="1" x14ac:dyDescent="0.3">
      <c r="A48" s="156" t="s">
        <v>214</v>
      </c>
      <c r="B48" s="157">
        <f>SUM(B43:B47)</f>
        <v>1161525000</v>
      </c>
      <c r="C48" s="157">
        <f>SUM(C43:C47)</f>
        <v>1403256424.9799998</v>
      </c>
      <c r="D48" s="158">
        <f>SUM(D43:D47)</f>
        <v>1208038389.6400001</v>
      </c>
    </row>
    <row r="49" spans="1:13" s="161" customFormat="1" ht="16.5" thickTop="1" x14ac:dyDescent="0.25">
      <c r="A49" s="168"/>
      <c r="B49" s="169"/>
      <c r="C49" s="169"/>
      <c r="D49" s="169"/>
    </row>
    <row r="50" spans="1:13" s="161" customFormat="1" x14ac:dyDescent="0.2"/>
    <row r="51" spans="1:13" s="161" customFormat="1" x14ac:dyDescent="0.2"/>
    <row r="52" spans="1:13" s="170" customFormat="1" x14ac:dyDescent="0.2"/>
    <row r="53" spans="1:13" s="170" customFormat="1" ht="13.5" thickBot="1" x14ac:dyDescent="0.25">
      <c r="A53" s="543" t="s">
        <v>221</v>
      </c>
      <c r="B53" s="544"/>
      <c r="C53" s="544"/>
      <c r="D53" s="544"/>
      <c r="E53" s="544"/>
      <c r="F53" s="543" t="s">
        <v>222</v>
      </c>
      <c r="G53" s="544"/>
      <c r="H53" s="544"/>
      <c r="I53" s="544"/>
      <c r="J53" s="544"/>
      <c r="K53" s="544"/>
      <c r="L53" s="448"/>
      <c r="M53" s="448"/>
    </row>
    <row r="54" spans="1:13" s="170" customFormat="1" ht="14.25" thickTop="1" thickBot="1" x14ac:dyDescent="0.25">
      <c r="A54" s="544"/>
      <c r="B54" s="545" t="s">
        <v>0</v>
      </c>
      <c r="C54" s="546" t="s">
        <v>1</v>
      </c>
      <c r="D54" s="547" t="s">
        <v>13</v>
      </c>
      <c r="E54" s="544"/>
      <c r="F54" s="544"/>
      <c r="G54" s="545" t="s">
        <v>0</v>
      </c>
      <c r="H54" s="546" t="s">
        <v>1</v>
      </c>
      <c r="I54" s="547" t="s">
        <v>13</v>
      </c>
      <c r="J54" s="544"/>
      <c r="K54" s="544"/>
      <c r="L54" s="448"/>
      <c r="M54" s="448"/>
    </row>
    <row r="55" spans="1:13" s="170" customFormat="1" ht="13.5" thickTop="1" x14ac:dyDescent="0.2">
      <c r="A55" s="543" t="s">
        <v>16</v>
      </c>
      <c r="B55" s="548">
        <f>SUM(B56:B58)</f>
        <v>103459000</v>
      </c>
      <c r="C55" s="548">
        <f>SUM(C56:C58)</f>
        <v>190461811</v>
      </c>
      <c r="D55" s="548">
        <f>SUM(D56:D58)</f>
        <v>153687807.69</v>
      </c>
      <c r="E55" s="544"/>
      <c r="F55" s="543" t="s">
        <v>16</v>
      </c>
      <c r="G55" s="548">
        <f>SUM(G56:G58)</f>
        <v>0</v>
      </c>
      <c r="H55" s="548">
        <f>SUM(H56:H58)</f>
        <v>23445014.09</v>
      </c>
      <c r="I55" s="548">
        <f>SUM(I56:I58)</f>
        <v>23445014.09</v>
      </c>
      <c r="J55" s="544"/>
      <c r="K55" s="544"/>
      <c r="L55" s="448"/>
      <c r="M55" s="448"/>
    </row>
    <row r="56" spans="1:13" s="170" customFormat="1" x14ac:dyDescent="0.2">
      <c r="A56" s="544" t="s">
        <v>205</v>
      </c>
      <c r="B56" s="549">
        <f>'[1]d) OK'!B8</f>
        <v>89964000</v>
      </c>
      <c r="C56" s="549">
        <f>'[1]d) OK'!C8</f>
        <v>19434123</v>
      </c>
      <c r="D56" s="549">
        <f>'[1]d) OK'!D8</f>
        <v>16824870</v>
      </c>
      <c r="E56" s="544"/>
      <c r="F56" s="544" t="s">
        <v>205</v>
      </c>
      <c r="G56" s="549">
        <f>'[1]d) OK'!B114</f>
        <v>0</v>
      </c>
      <c r="H56" s="549">
        <f>'[1]d) OK'!C114</f>
        <v>2574500</v>
      </c>
      <c r="I56" s="549">
        <f>'[1]d) OK'!D114</f>
        <v>2574500</v>
      </c>
      <c r="J56" s="544"/>
      <c r="K56" s="544"/>
      <c r="L56" s="448"/>
      <c r="M56" s="448"/>
    </row>
    <row r="57" spans="1:13" s="170" customFormat="1" x14ac:dyDescent="0.2">
      <c r="A57" s="544" t="s">
        <v>206</v>
      </c>
      <c r="B57" s="549">
        <f>'[1]b) KB'!B9</f>
        <v>0</v>
      </c>
      <c r="C57" s="549">
        <f>'[1]b) KB'!C9</f>
        <v>84987832</v>
      </c>
      <c r="D57" s="549">
        <f>'[1]b) KB'!D9</f>
        <v>84347882.989999995</v>
      </c>
      <c r="E57" s="544"/>
      <c r="F57" s="544" t="s">
        <v>206</v>
      </c>
      <c r="G57" s="549">
        <v>0</v>
      </c>
      <c r="H57" s="549">
        <v>0</v>
      </c>
      <c r="I57" s="549">
        <v>0</v>
      </c>
      <c r="J57" s="544"/>
      <c r="K57" s="544"/>
      <c r="L57" s="448"/>
      <c r="M57" s="448"/>
    </row>
    <row r="58" spans="1:13" s="170" customFormat="1" x14ac:dyDescent="0.2">
      <c r="A58" s="544" t="s">
        <v>207</v>
      </c>
      <c r="B58" s="549">
        <f>'[1]a) EIB'!F8</f>
        <v>13495000</v>
      </c>
      <c r="C58" s="549">
        <f>'[1]a) EIB'!G8</f>
        <v>86039856</v>
      </c>
      <c r="D58" s="549">
        <f>'[1]a) EIB'!H8</f>
        <v>52515054.700000003</v>
      </c>
      <c r="E58" s="544"/>
      <c r="F58" s="544" t="s">
        <v>207</v>
      </c>
      <c r="G58" s="549">
        <f>'[1]a) EIB'!F20</f>
        <v>0</v>
      </c>
      <c r="H58" s="549">
        <f>'[1]a) EIB'!G20</f>
        <v>20870514.09</v>
      </c>
      <c r="I58" s="549">
        <f>'[1]a) EIB'!H20</f>
        <v>20870514.09</v>
      </c>
      <c r="J58" s="544"/>
      <c r="K58" s="544"/>
      <c r="L58" s="448"/>
      <c r="M58" s="448"/>
    </row>
    <row r="59" spans="1:13" s="170" customFormat="1" x14ac:dyDescent="0.2">
      <c r="A59" s="543" t="s">
        <v>18</v>
      </c>
      <c r="B59" s="548">
        <f>SUM(B60:B62)</f>
        <v>127025000</v>
      </c>
      <c r="C59" s="548">
        <f>SUM(C60:C62)</f>
        <v>160091402.25</v>
      </c>
      <c r="D59" s="548">
        <f>SUM(D60:D62)</f>
        <v>103422047.90000001</v>
      </c>
      <c r="E59" s="544"/>
      <c r="F59" s="543" t="s">
        <v>18</v>
      </c>
      <c r="G59" s="548">
        <f>SUM(G60:G62)</f>
        <v>10875000</v>
      </c>
      <c r="H59" s="548">
        <f>SUM(H60:H62)</f>
        <v>11295782</v>
      </c>
      <c r="I59" s="548">
        <f>SUM(I60:I62)</f>
        <v>11295782</v>
      </c>
      <c r="J59" s="544"/>
      <c r="K59" s="544"/>
      <c r="L59" s="448"/>
      <c r="M59" s="448"/>
    </row>
    <row r="60" spans="1:13" s="170" customFormat="1" x14ac:dyDescent="0.2">
      <c r="A60" s="544" t="s">
        <v>205</v>
      </c>
      <c r="B60" s="549">
        <f>'[1]d) OK'!B127</f>
        <v>96891000</v>
      </c>
      <c r="C60" s="549">
        <f>'[1]d) OK'!C127</f>
        <v>47204040.420000002</v>
      </c>
      <c r="D60" s="549">
        <f>'[1]d) OK'!D127</f>
        <v>23098060.560000002</v>
      </c>
      <c r="E60" s="544"/>
      <c r="F60" s="544" t="s">
        <v>205</v>
      </c>
      <c r="G60" s="549">
        <f>'[1]d) OK'!B221</f>
        <v>10875000</v>
      </c>
      <c r="H60" s="549">
        <f>'[1]d) OK'!C221</f>
        <v>1753628</v>
      </c>
      <c r="I60" s="549">
        <f>'[1]d) OK'!D221</f>
        <v>1753628</v>
      </c>
      <c r="J60" s="544"/>
      <c r="K60" s="544"/>
      <c r="L60" s="448"/>
      <c r="M60" s="448"/>
    </row>
    <row r="61" spans="1:13" s="170" customFormat="1" x14ac:dyDescent="0.2">
      <c r="A61" s="544" t="s">
        <v>206</v>
      </c>
      <c r="B61" s="549">
        <f>'[1]b) KB'!B56</f>
        <v>0</v>
      </c>
      <c r="C61" s="549">
        <f>'[1]b) KB'!C56</f>
        <v>40690281.579999998</v>
      </c>
      <c r="D61" s="549">
        <f>'[1]b) KB'!D56</f>
        <v>35305512.5</v>
      </c>
      <c r="E61" s="544"/>
      <c r="F61" s="544" t="s">
        <v>206</v>
      </c>
      <c r="G61" s="549">
        <f>'[1]b) KB'!B75</f>
        <v>0</v>
      </c>
      <c r="H61" s="549">
        <f>'[1]b) KB'!C75</f>
        <v>9542154</v>
      </c>
      <c r="I61" s="549">
        <f>'[1]b) KB'!D75</f>
        <v>9542154</v>
      </c>
      <c r="J61" s="544"/>
      <c r="K61" s="544"/>
      <c r="L61" s="448"/>
      <c r="M61" s="448"/>
    </row>
    <row r="62" spans="1:13" s="170" customFormat="1" x14ac:dyDescent="0.2">
      <c r="A62" s="544" t="s">
        <v>207</v>
      </c>
      <c r="B62" s="549">
        <f>'[1]a) EIB'!F32</f>
        <v>30134000</v>
      </c>
      <c r="C62" s="549">
        <f>'[1]a) EIB'!G32</f>
        <v>72197080.25</v>
      </c>
      <c r="D62" s="549">
        <f>'[1]a) EIB'!H32</f>
        <v>45018474.839999996</v>
      </c>
      <c r="E62" s="544"/>
      <c r="F62" s="544" t="s">
        <v>207</v>
      </c>
      <c r="G62" s="544"/>
      <c r="H62" s="544"/>
      <c r="I62" s="544"/>
      <c r="J62" s="544"/>
      <c r="K62" s="544"/>
      <c r="L62" s="448"/>
      <c r="M62" s="448"/>
    </row>
    <row r="63" spans="1:13" s="170" customFormat="1" x14ac:dyDescent="0.2">
      <c r="A63" s="543" t="s">
        <v>20</v>
      </c>
      <c r="B63" s="548">
        <f>SUM(B64:B67)</f>
        <v>179138000</v>
      </c>
      <c r="C63" s="548">
        <f>SUM(C64:C67)</f>
        <v>342920301.83000004</v>
      </c>
      <c r="D63" s="548">
        <f>SUM(D64:D67)</f>
        <v>242218530.98999998</v>
      </c>
      <c r="E63" s="544"/>
      <c r="F63" s="543" t="s">
        <v>20</v>
      </c>
      <c r="G63" s="548">
        <f>SUM(G64:G67)</f>
        <v>140000000</v>
      </c>
      <c r="H63" s="548">
        <f>SUM(H64:H67)</f>
        <v>334000000</v>
      </c>
      <c r="I63" s="548">
        <f>SUM(I64:I67)</f>
        <v>334000000</v>
      </c>
      <c r="J63" s="544"/>
      <c r="K63" s="544"/>
      <c r="L63" s="448"/>
      <c r="M63" s="448"/>
    </row>
    <row r="64" spans="1:13" s="170" customFormat="1" x14ac:dyDescent="0.2">
      <c r="A64" s="544" t="s">
        <v>205</v>
      </c>
      <c r="B64" s="549">
        <f>'[1]d) OK'!B263</f>
        <v>62088000</v>
      </c>
      <c r="C64" s="549">
        <f>'[1]d) OK'!C263</f>
        <v>51160080</v>
      </c>
      <c r="D64" s="549">
        <f>'[1]d) OK'!D263</f>
        <v>39146316.410000004</v>
      </c>
      <c r="E64" s="544"/>
      <c r="F64" s="544" t="s">
        <v>205</v>
      </c>
      <c r="G64" s="549">
        <f>'[1]d) OK'!B309</f>
        <v>114000000</v>
      </c>
      <c r="H64" s="549">
        <f>'[1]d) OK'!C309</f>
        <v>58800000</v>
      </c>
      <c r="I64" s="549">
        <f>'[1]d) OK'!D309</f>
        <v>58800000</v>
      </c>
      <c r="J64" s="544"/>
      <c r="K64" s="544"/>
      <c r="L64" s="448"/>
      <c r="M64" s="448"/>
    </row>
    <row r="65" spans="1:13" s="170" customFormat="1" x14ac:dyDescent="0.2">
      <c r="A65" s="544" t="s">
        <v>206</v>
      </c>
      <c r="B65" s="549">
        <f>'[1]b) KB'!B106</f>
        <v>0</v>
      </c>
      <c r="C65" s="549">
        <f>'[1]b) KB'!C106</f>
        <v>11097000</v>
      </c>
      <c r="D65" s="549">
        <f>'[1]b) KB'!D106</f>
        <v>7891430</v>
      </c>
      <c r="E65" s="544"/>
      <c r="F65" s="544" t="s">
        <v>206</v>
      </c>
      <c r="G65" s="549">
        <v>0</v>
      </c>
      <c r="H65" s="549">
        <v>0</v>
      </c>
      <c r="I65" s="549">
        <v>0</v>
      </c>
      <c r="J65" s="544"/>
      <c r="K65" s="544"/>
      <c r="L65" s="448"/>
      <c r="M65" s="448"/>
    </row>
    <row r="66" spans="1:13" s="170" customFormat="1" x14ac:dyDescent="0.2">
      <c r="A66" s="544" t="s">
        <v>207</v>
      </c>
      <c r="B66" s="549">
        <f>'[1]a) EIB'!F53</f>
        <v>117050000</v>
      </c>
      <c r="C66" s="549">
        <f>'[1]a) EIB'!G53</f>
        <v>250663221.83000001</v>
      </c>
      <c r="D66" s="549">
        <f>'[1]a) EIB'!H53</f>
        <v>172934131.95999998</v>
      </c>
      <c r="E66" s="544"/>
      <c r="F66" s="544" t="s">
        <v>207</v>
      </c>
      <c r="G66" s="549">
        <f>'[1]a) EIB'!F73</f>
        <v>26000000</v>
      </c>
      <c r="H66" s="549">
        <f>'[1]a) EIB'!G73</f>
        <v>275200000</v>
      </c>
      <c r="I66" s="549">
        <f>'[1]a) EIB'!H73</f>
        <v>275200000</v>
      </c>
      <c r="J66" s="544"/>
      <c r="K66" s="544"/>
      <c r="L66" s="448"/>
      <c r="M66" s="448"/>
    </row>
    <row r="67" spans="1:13" s="170" customFormat="1" x14ac:dyDescent="0.2">
      <c r="A67" s="544" t="s">
        <v>209</v>
      </c>
      <c r="B67" s="549">
        <f>'[1]c) SFDI'!F18</f>
        <v>0</v>
      </c>
      <c r="C67" s="549">
        <f>'[1]c) SFDI'!G18</f>
        <v>30000000</v>
      </c>
      <c r="D67" s="549">
        <f>'[1]c) SFDI'!H18</f>
        <v>22246652.620000001</v>
      </c>
      <c r="E67" s="544"/>
      <c r="F67" s="544" t="s">
        <v>209</v>
      </c>
      <c r="G67" s="544"/>
      <c r="H67" s="544"/>
      <c r="I67" s="544"/>
      <c r="J67" s="544"/>
      <c r="K67" s="544"/>
      <c r="L67" s="448"/>
      <c r="M67" s="448"/>
    </row>
    <row r="68" spans="1:13" s="170" customFormat="1" x14ac:dyDescent="0.2">
      <c r="A68" s="543" t="s">
        <v>17</v>
      </c>
      <c r="B68" s="548">
        <f>SUM(B69:B71)</f>
        <v>39740000</v>
      </c>
      <c r="C68" s="548">
        <f>SUM(C69:C71)</f>
        <v>43479440</v>
      </c>
      <c r="D68" s="548">
        <f>SUM(D69:D71)</f>
        <v>21043979.219999999</v>
      </c>
      <c r="E68" s="544"/>
      <c r="F68" s="543" t="s">
        <v>17</v>
      </c>
      <c r="G68" s="548">
        <f>SUM(G69:G71)</f>
        <v>5160000</v>
      </c>
      <c r="H68" s="548">
        <f>SUM(H69:H71)</f>
        <v>6974743.2999999998</v>
      </c>
      <c r="I68" s="548">
        <f>SUM(I69:I71)</f>
        <v>6974743.2999999998</v>
      </c>
      <c r="J68" s="544"/>
      <c r="K68" s="544"/>
      <c r="L68" s="448"/>
      <c r="M68" s="448"/>
    </row>
    <row r="69" spans="1:13" s="170" customFormat="1" x14ac:dyDescent="0.2">
      <c r="A69" s="544" t="s">
        <v>205</v>
      </c>
      <c r="B69" s="549">
        <f>'[1]d) OK'!B339</f>
        <v>33040000</v>
      </c>
      <c r="C69" s="549">
        <f>'[1]d) OK'!C339</f>
        <v>23716190</v>
      </c>
      <c r="D69" s="549">
        <f>'[1]d) OK'!D339</f>
        <v>4988410</v>
      </c>
      <c r="E69" s="544"/>
      <c r="F69" s="544" t="s">
        <v>205</v>
      </c>
      <c r="G69" s="549">
        <f>'[1]d) OK'!B367</f>
        <v>5160000</v>
      </c>
      <c r="H69" s="549">
        <f>'[1]d) OK'!C367</f>
        <v>1985479</v>
      </c>
      <c r="I69" s="549">
        <f>'[1]d) OK'!D367</f>
        <v>1985479</v>
      </c>
      <c r="J69" s="544"/>
      <c r="K69" s="544"/>
      <c r="L69" s="448"/>
      <c r="M69" s="448"/>
    </row>
    <row r="70" spans="1:13" s="170" customFormat="1" x14ac:dyDescent="0.2">
      <c r="A70" s="544" t="s">
        <v>206</v>
      </c>
      <c r="B70" s="549">
        <f>'[1]b) KB'!B122</f>
        <v>0</v>
      </c>
      <c r="C70" s="549">
        <f>'[1]b) KB'!C122</f>
        <v>10912250</v>
      </c>
      <c r="D70" s="549">
        <f>'[1]b) KB'!D122</f>
        <v>7445729.2199999997</v>
      </c>
      <c r="E70" s="544"/>
      <c r="F70" s="544" t="s">
        <v>206</v>
      </c>
      <c r="G70" s="549">
        <f>'[1]b) KB'!B129</f>
        <v>0</v>
      </c>
      <c r="H70" s="549">
        <f>'[1]b) KB'!C129</f>
        <v>4989264.3</v>
      </c>
      <c r="I70" s="549">
        <f>'[1]b) KB'!D129</f>
        <v>4989264.3</v>
      </c>
      <c r="J70" s="544"/>
      <c r="K70" s="544"/>
      <c r="L70" s="448"/>
      <c r="M70" s="448"/>
    </row>
    <row r="71" spans="1:13" s="170" customFormat="1" x14ac:dyDescent="0.2">
      <c r="A71" s="544" t="s">
        <v>207</v>
      </c>
      <c r="B71" s="549">
        <f>'[1]a) EIB'!F103</f>
        <v>6700000</v>
      </c>
      <c r="C71" s="549">
        <f>'[1]a) EIB'!G103</f>
        <v>8851000</v>
      </c>
      <c r="D71" s="549">
        <f>'[1]a) EIB'!H103</f>
        <v>8609840</v>
      </c>
      <c r="E71" s="544"/>
      <c r="F71" s="544" t="s">
        <v>207</v>
      </c>
      <c r="G71" s="544"/>
      <c r="H71" s="544"/>
      <c r="I71" s="544"/>
      <c r="J71" s="544"/>
      <c r="K71" s="544"/>
      <c r="L71" s="448"/>
      <c r="M71" s="448"/>
    </row>
    <row r="72" spans="1:13" s="170" customFormat="1" x14ac:dyDescent="0.2">
      <c r="A72" s="543" t="s">
        <v>19</v>
      </c>
      <c r="B72" s="548">
        <f>SUM(B73:B76)</f>
        <v>58236000</v>
      </c>
      <c r="C72" s="548">
        <f>SUM(C73:C76)</f>
        <v>119474802.3</v>
      </c>
      <c r="D72" s="548">
        <f>SUM(D73:D76)</f>
        <v>112005405.8</v>
      </c>
      <c r="E72" s="544"/>
      <c r="F72" s="543" t="s">
        <v>19</v>
      </c>
      <c r="G72" s="548">
        <f>SUM(G73:G76)</f>
        <v>9450000</v>
      </c>
      <c r="H72" s="548">
        <f>SUM(H73:H76)</f>
        <v>14028078.120000001</v>
      </c>
      <c r="I72" s="548">
        <f>SUM(I73:I76)</f>
        <v>14028078.120000001</v>
      </c>
      <c r="J72" s="544"/>
      <c r="K72" s="544"/>
      <c r="L72" s="448"/>
      <c r="M72" s="448"/>
    </row>
    <row r="73" spans="1:13" s="170" customFormat="1" x14ac:dyDescent="0.2">
      <c r="A73" s="544" t="s">
        <v>205</v>
      </c>
      <c r="B73" s="549">
        <f>'[1]d) OK'!B399</f>
        <v>18310000</v>
      </c>
      <c r="C73" s="549">
        <f>'[1]d) OK'!C399</f>
        <v>10057556</v>
      </c>
      <c r="D73" s="549">
        <f>'[1]d) OK'!D399</f>
        <v>8640072.6999999993</v>
      </c>
      <c r="E73" s="544"/>
      <c r="F73" s="544" t="s">
        <v>205</v>
      </c>
      <c r="G73" s="549">
        <f>'[1]d) OK'!B451</f>
        <v>9450000</v>
      </c>
      <c r="H73" s="549">
        <f>'[1]d) OK'!C451</f>
        <v>325000</v>
      </c>
      <c r="I73" s="549">
        <f>'[1]d) OK'!D451</f>
        <v>325000</v>
      </c>
      <c r="J73" s="544"/>
      <c r="K73" s="544"/>
      <c r="L73" s="448"/>
      <c r="M73" s="448"/>
    </row>
    <row r="74" spans="1:13" s="170" customFormat="1" x14ac:dyDescent="0.2">
      <c r="A74" s="544" t="s">
        <v>206</v>
      </c>
      <c r="B74" s="549">
        <f>'[1]b) KB'!B155</f>
        <v>0</v>
      </c>
      <c r="C74" s="549">
        <f>'[1]b) KB'!C155</f>
        <v>15650140</v>
      </c>
      <c r="D74" s="549">
        <f>'[1]b) KB'!D155</f>
        <v>13920455.48</v>
      </c>
      <c r="E74" s="544"/>
      <c r="F74" s="544" t="s">
        <v>206</v>
      </c>
      <c r="G74" s="549">
        <f>'[1]b) KB'!B167</f>
        <v>0</v>
      </c>
      <c r="H74" s="549">
        <f>'[1]b) KB'!C167</f>
        <v>8971078.120000001</v>
      </c>
      <c r="I74" s="549">
        <f>'[1]b) KB'!D167</f>
        <v>8971078.120000001</v>
      </c>
      <c r="J74" s="544"/>
      <c r="K74" s="544"/>
      <c r="L74" s="448"/>
      <c r="M74" s="448"/>
    </row>
    <row r="75" spans="1:13" s="170" customFormat="1" x14ac:dyDescent="0.2">
      <c r="A75" s="544" t="s">
        <v>207</v>
      </c>
      <c r="B75" s="549">
        <f>'[1]a) EIB'!F113</f>
        <v>13100000</v>
      </c>
      <c r="C75" s="549">
        <f>'[1]a) EIB'!G113</f>
        <v>56559660</v>
      </c>
      <c r="D75" s="549">
        <f>'[1]a) EIB'!H113</f>
        <v>53878355.619999997</v>
      </c>
      <c r="E75" s="544"/>
      <c r="F75" s="544" t="s">
        <v>207</v>
      </c>
      <c r="G75" s="549">
        <f>'[1]a) EIB'!F121</f>
        <v>0</v>
      </c>
      <c r="H75" s="549">
        <f>'[1]a) EIB'!G121</f>
        <v>4732000</v>
      </c>
      <c r="I75" s="549">
        <f>'[1]a) EIB'!H121</f>
        <v>4732000</v>
      </c>
      <c r="J75" s="544"/>
      <c r="K75" s="544"/>
      <c r="L75" s="448"/>
      <c r="M75" s="448"/>
    </row>
    <row r="76" spans="1:13" s="170" customFormat="1" x14ac:dyDescent="0.2">
      <c r="A76" s="544" t="s">
        <v>223</v>
      </c>
      <c r="B76" s="549">
        <f>'[1]d) OK'!B426</f>
        <v>26826000</v>
      </c>
      <c r="C76" s="549">
        <f>'[1]d) OK'!C426</f>
        <v>37207446.299999997</v>
      </c>
      <c r="D76" s="549">
        <f>'[1]d) OK'!D426</f>
        <v>35566522</v>
      </c>
      <c r="E76" s="544"/>
      <c r="F76" s="544" t="s">
        <v>223</v>
      </c>
      <c r="G76" s="544"/>
      <c r="H76" s="544"/>
      <c r="I76" s="544"/>
      <c r="J76" s="544"/>
      <c r="K76" s="544"/>
      <c r="L76" s="448"/>
      <c r="M76" s="448"/>
    </row>
    <row r="77" spans="1:13" s="170" customFormat="1" x14ac:dyDescent="0.2">
      <c r="A77" s="543" t="s">
        <v>212</v>
      </c>
      <c r="B77" s="548">
        <f>SUM(B78:B79)</f>
        <v>0</v>
      </c>
      <c r="C77" s="548">
        <f>SUM(C78:C79)</f>
        <v>2940000</v>
      </c>
      <c r="D77" s="548">
        <f>SUM(D78:D79)</f>
        <v>2940000</v>
      </c>
      <c r="E77" s="544"/>
      <c r="F77" s="543" t="s">
        <v>212</v>
      </c>
      <c r="G77" s="548">
        <f>SUM(G78:G79)</f>
        <v>0</v>
      </c>
      <c r="H77" s="548">
        <f>SUM(H78:H79)</f>
        <v>0</v>
      </c>
      <c r="I77" s="548">
        <f>SUM(I78:I79)</f>
        <v>0</v>
      </c>
      <c r="J77" s="544"/>
      <c r="K77" s="544"/>
      <c r="L77" s="448"/>
      <c r="M77" s="448"/>
    </row>
    <row r="78" spans="1:13" s="170" customFormat="1" x14ac:dyDescent="0.2">
      <c r="A78" s="544" t="s">
        <v>205</v>
      </c>
      <c r="B78" s="544"/>
      <c r="C78" s="544"/>
      <c r="D78" s="544"/>
      <c r="E78" s="544"/>
      <c r="F78" s="544" t="s">
        <v>205</v>
      </c>
      <c r="G78" s="544"/>
      <c r="H78" s="544"/>
      <c r="I78" s="544"/>
      <c r="J78" s="544"/>
      <c r="K78" s="544"/>
      <c r="L78" s="448"/>
      <c r="M78" s="448"/>
    </row>
    <row r="79" spans="1:13" s="170" customFormat="1" x14ac:dyDescent="0.2">
      <c r="A79" s="544" t="s">
        <v>207</v>
      </c>
      <c r="B79" s="549">
        <f>'[1]a) EIB'!F131</f>
        <v>0</v>
      </c>
      <c r="C79" s="549">
        <f>'[1]a) EIB'!G131</f>
        <v>2940000</v>
      </c>
      <c r="D79" s="549">
        <f>'[1]a) EIB'!H131</f>
        <v>2940000</v>
      </c>
      <c r="E79" s="544"/>
      <c r="F79" s="544" t="s">
        <v>207</v>
      </c>
      <c r="G79" s="544"/>
      <c r="H79" s="544"/>
      <c r="I79" s="544"/>
      <c r="J79" s="544"/>
      <c r="K79" s="544"/>
      <c r="L79" s="448"/>
      <c r="M79" s="448"/>
    </row>
    <row r="80" spans="1:13" s="170" customFormat="1" x14ac:dyDescent="0.2">
      <c r="A80" s="543" t="s">
        <v>213</v>
      </c>
      <c r="B80" s="548">
        <f>SUM(B81:B83)</f>
        <v>12970000</v>
      </c>
      <c r="C80" s="548">
        <f>SUM(C81:C83)</f>
        <v>11150863.800000001</v>
      </c>
      <c r="D80" s="548">
        <f>SUM(D81:D83)</f>
        <v>8947257.1999999993</v>
      </c>
      <c r="E80" s="544"/>
      <c r="F80" s="543" t="s">
        <v>213</v>
      </c>
      <c r="G80" s="548">
        <f>SUM(G81:G83)</f>
        <v>0</v>
      </c>
      <c r="H80" s="548">
        <f>SUM(H81:H83)</f>
        <v>0</v>
      </c>
      <c r="I80" s="548">
        <f>SUM(I81:I83)</f>
        <v>0</v>
      </c>
      <c r="J80" s="544"/>
      <c r="K80" s="544"/>
      <c r="L80" s="448"/>
      <c r="M80" s="448"/>
    </row>
    <row r="81" spans="1:13" s="170" customFormat="1" x14ac:dyDescent="0.2">
      <c r="A81" s="544" t="s">
        <v>205</v>
      </c>
      <c r="B81" s="549">
        <f>'[1]d) OK'!B514</f>
        <v>12970000</v>
      </c>
      <c r="C81" s="549">
        <f>'[1]d) OK'!C514</f>
        <v>11150863.800000001</v>
      </c>
      <c r="D81" s="549">
        <f>'[1]d) OK'!D514</f>
        <v>8947257.1999999993</v>
      </c>
      <c r="E81" s="544"/>
      <c r="F81" s="544" t="s">
        <v>205</v>
      </c>
      <c r="G81" s="544"/>
      <c r="H81" s="544"/>
      <c r="I81" s="544"/>
      <c r="J81" s="544"/>
      <c r="K81" s="544"/>
      <c r="L81" s="448"/>
      <c r="M81" s="448"/>
    </row>
    <row r="82" spans="1:13" s="170" customFormat="1" x14ac:dyDescent="0.2">
      <c r="A82" s="544" t="s">
        <v>206</v>
      </c>
      <c r="B82" s="544"/>
      <c r="C82" s="544"/>
      <c r="D82" s="544"/>
      <c r="E82" s="544"/>
      <c r="F82" s="544" t="s">
        <v>206</v>
      </c>
      <c r="G82" s="544"/>
      <c r="H82" s="544"/>
      <c r="I82" s="544"/>
      <c r="J82" s="544"/>
      <c r="K82" s="544"/>
      <c r="L82" s="448"/>
      <c r="M82" s="448"/>
    </row>
    <row r="83" spans="1:13" s="170" customFormat="1" x14ac:dyDescent="0.2">
      <c r="A83" s="544" t="s">
        <v>207</v>
      </c>
      <c r="B83" s="544"/>
      <c r="C83" s="544"/>
      <c r="D83" s="544"/>
      <c r="E83" s="544"/>
      <c r="F83" s="544" t="s">
        <v>207</v>
      </c>
      <c r="G83" s="544"/>
      <c r="H83" s="544"/>
      <c r="I83" s="544"/>
      <c r="J83" s="544"/>
      <c r="K83" s="544"/>
      <c r="L83" s="448"/>
      <c r="M83" s="448"/>
    </row>
    <row r="84" spans="1:13" s="170" customFormat="1" x14ac:dyDescent="0.2">
      <c r="A84" s="550" t="s">
        <v>214</v>
      </c>
      <c r="B84" s="548">
        <f>B80+B72+B68+B63+B59+B55+B77</f>
        <v>520568000</v>
      </c>
      <c r="C84" s="548">
        <f>C80+C72+C68+C63+C59+C55+C77</f>
        <v>870518621.18000007</v>
      </c>
      <c r="D84" s="548">
        <f>D80+D72+D68+D63+D59+D55+D77</f>
        <v>644265028.79999995</v>
      </c>
      <c r="E84" s="544"/>
      <c r="F84" s="550" t="s">
        <v>214</v>
      </c>
      <c r="G84" s="548">
        <f>G80+G72+G68+G63+G59+G55+G77</f>
        <v>165485000</v>
      </c>
      <c r="H84" s="548">
        <f>H80+H72+H68+H63+H59+H55+H77</f>
        <v>389743617.50999999</v>
      </c>
      <c r="I84" s="548">
        <f>I80+I72+I68+I63+I59+I55+I77</f>
        <v>389743617.50999999</v>
      </c>
      <c r="J84" s="544"/>
      <c r="K84" s="544"/>
      <c r="L84" s="448"/>
      <c r="M84" s="448"/>
    </row>
    <row r="85" spans="1:13" s="170" customFormat="1" x14ac:dyDescent="0.2">
      <c r="A85" s="544"/>
      <c r="B85" s="544"/>
      <c r="C85" s="544"/>
      <c r="D85" s="544"/>
      <c r="E85" s="544"/>
      <c r="F85" s="544"/>
      <c r="G85" s="544"/>
      <c r="H85" s="544"/>
      <c r="I85" s="544"/>
      <c r="J85" s="544"/>
      <c r="K85" s="544"/>
      <c r="L85" s="448"/>
      <c r="M85" s="448"/>
    </row>
    <row r="86" spans="1:13" s="170" customFormat="1" x14ac:dyDescent="0.2">
      <c r="A86" s="544"/>
      <c r="B86" s="544"/>
      <c r="C86" s="544"/>
      <c r="D86" s="544"/>
      <c r="E86" s="544"/>
      <c r="F86" s="544"/>
      <c r="G86" s="544"/>
      <c r="H86" s="544"/>
      <c r="I86" s="544"/>
      <c r="J86" s="544"/>
      <c r="K86" s="544"/>
      <c r="L86" s="448"/>
      <c r="M86" s="448"/>
    </row>
    <row r="87" spans="1:13" s="170" customFormat="1" x14ac:dyDescent="0.2">
      <c r="A87" s="544"/>
      <c r="B87" s="544"/>
      <c r="C87" s="544"/>
      <c r="D87" s="544"/>
      <c r="E87" s="544"/>
      <c r="F87" s="544"/>
      <c r="G87" s="544"/>
      <c r="H87" s="544"/>
      <c r="I87" s="544"/>
      <c r="J87" s="544"/>
      <c r="K87" s="544"/>
      <c r="L87" s="448"/>
      <c r="M87" s="448"/>
    </row>
    <row r="88" spans="1:13" s="170" customFormat="1" x14ac:dyDescent="0.2">
      <c r="A88" s="448"/>
      <c r="B88" s="448"/>
      <c r="C88" s="448"/>
      <c r="D88" s="448"/>
      <c r="E88" s="448"/>
      <c r="F88" s="448"/>
      <c r="G88" s="448"/>
      <c r="H88" s="448"/>
      <c r="I88" s="448"/>
      <c r="J88" s="448"/>
      <c r="K88" s="448"/>
      <c r="L88" s="448"/>
      <c r="M88" s="448"/>
    </row>
    <row r="89" spans="1:13" s="170" customFormat="1" x14ac:dyDescent="0.2">
      <c r="A89" s="448"/>
      <c r="B89" s="448"/>
      <c r="C89" s="448"/>
      <c r="D89" s="448"/>
      <c r="E89" s="448"/>
      <c r="F89" s="448"/>
      <c r="G89" s="448"/>
      <c r="H89" s="448"/>
      <c r="I89" s="448"/>
      <c r="J89" s="448"/>
      <c r="K89" s="448"/>
      <c r="L89" s="448"/>
      <c r="M89" s="448"/>
    </row>
    <row r="90" spans="1:13" s="170" customFormat="1" x14ac:dyDescent="0.2">
      <c r="A90" s="448"/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8"/>
      <c r="M90" s="448"/>
    </row>
    <row r="91" spans="1:13" s="170" customFormat="1" x14ac:dyDescent="0.2">
      <c r="A91" s="448"/>
      <c r="B91" s="448"/>
      <c r="C91" s="448"/>
      <c r="D91" s="448"/>
      <c r="E91" s="448"/>
      <c r="F91" s="448"/>
      <c r="G91" s="448"/>
      <c r="H91" s="448"/>
      <c r="I91" s="448"/>
      <c r="J91" s="448"/>
      <c r="K91" s="448"/>
      <c r="L91" s="448"/>
      <c r="M91" s="448"/>
    </row>
    <row r="92" spans="1:13" s="170" customFormat="1" x14ac:dyDescent="0.2"/>
    <row r="93" spans="1:13" s="170" customFormat="1" x14ac:dyDescent="0.2"/>
    <row r="94" spans="1:13" s="170" customFormat="1" x14ac:dyDescent="0.2"/>
    <row r="95" spans="1:13" s="170" customFormat="1" x14ac:dyDescent="0.2"/>
    <row r="96" spans="1:13" s="170" customFormat="1" x14ac:dyDescent="0.2"/>
    <row r="97" s="170" customFormat="1" x14ac:dyDescent="0.2"/>
    <row r="98" s="170" customFormat="1" x14ac:dyDescent="0.2"/>
    <row r="99" s="170" customFormat="1" x14ac:dyDescent="0.2"/>
    <row r="100" s="170" customFormat="1" x14ac:dyDescent="0.2"/>
    <row r="101" s="170" customFormat="1" x14ac:dyDescent="0.2"/>
    <row r="102" s="170" customFormat="1" x14ac:dyDescent="0.2"/>
    <row r="103" s="170" customFormat="1" x14ac:dyDescent="0.2"/>
    <row r="104" s="170" customFormat="1" x14ac:dyDescent="0.2"/>
    <row r="105" s="170" customFormat="1" x14ac:dyDescent="0.2"/>
    <row r="106" s="170" customFormat="1" x14ac:dyDescent="0.2"/>
    <row r="107" s="170" customFormat="1" x14ac:dyDescent="0.2"/>
  </sheetData>
  <pageMargins left="0.78740157480314965" right="0.78740157480314965" top="0.98425196850393704" bottom="0.98425196850393704" header="0.51181102362204722" footer="0.51181102362204722"/>
  <pageSetup paperSize="9" scale="94" firstPageNumber="184" orientation="portrait" useFirstPageNumber="1" r:id="rId1"/>
  <headerFooter alignWithMargins="0">
    <oddFooter>&amp;L&amp;"Arial,Kurzíva"Zastupitelstvo Olomouckého kraje 29.6.2012
5. - Rozpočet Olomouckého kraje 2011 - závěrečný účet 
Příloha č. 8: Přehled financování investičních akcí v roce 2011&amp;R&amp;"Arial,Kurzíva"Strana &amp;P (celkem 470)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J175"/>
  <sheetViews>
    <sheetView showGridLines="0" view="pageBreakPreview" topLeftCell="A7" zoomScaleNormal="100" zoomScaleSheetLayoutView="100" workbookViewId="0">
      <selection activeCell="F131" sqref="F131"/>
    </sheetView>
  </sheetViews>
  <sheetFormatPr defaultRowHeight="12.75" x14ac:dyDescent="0.2"/>
  <cols>
    <col min="1" max="1" width="4.7109375" style="40" customWidth="1"/>
    <col min="2" max="2" width="6.7109375" style="40" customWidth="1"/>
    <col min="3" max="3" width="5.140625" style="40" customWidth="1"/>
    <col min="4" max="4" width="13.7109375" style="40" customWidth="1"/>
    <col min="5" max="5" width="27" style="40" customWidth="1"/>
    <col min="6" max="6" width="17.28515625" style="466" customWidth="1"/>
    <col min="7" max="7" width="17.42578125" style="42" customWidth="1"/>
    <col min="8" max="8" width="16.85546875" style="428" customWidth="1"/>
    <col min="9" max="9" width="7.7109375" style="42" customWidth="1"/>
    <col min="10" max="10" width="14.85546875" style="38" customWidth="1"/>
    <col min="11" max="16384" width="9.140625" style="38"/>
  </cols>
  <sheetData>
    <row r="1" spans="1:10" ht="18" x14ac:dyDescent="0.25">
      <c r="A1" s="26" t="s">
        <v>691</v>
      </c>
      <c r="B1" s="26"/>
      <c r="C1" s="26"/>
      <c r="D1" s="26"/>
      <c r="E1" s="26"/>
    </row>
    <row r="2" spans="1:10" ht="15" x14ac:dyDescent="0.25">
      <c r="A2" s="27" t="s">
        <v>181</v>
      </c>
    </row>
    <row r="3" spans="1:10" ht="7.5" customHeight="1" x14ac:dyDescent="0.25">
      <c r="A3" s="41"/>
    </row>
    <row r="4" spans="1:10" ht="18.75" customHeight="1" x14ac:dyDescent="0.25">
      <c r="A4" s="26" t="s">
        <v>182</v>
      </c>
    </row>
    <row r="5" spans="1:10" ht="15.75" thickBot="1" x14ac:dyDescent="0.3">
      <c r="A5" s="27" t="s">
        <v>183</v>
      </c>
      <c r="B5" s="27"/>
      <c r="C5" s="27"/>
      <c r="D5" s="27"/>
      <c r="E5" s="27"/>
      <c r="I5" s="42" t="s">
        <v>27</v>
      </c>
    </row>
    <row r="6" spans="1:10" s="43" customFormat="1" ht="16.5" thickTop="1" thickBot="1" x14ac:dyDescent="0.3">
      <c r="A6" s="553" t="s">
        <v>14</v>
      </c>
      <c r="B6" s="554"/>
      <c r="C6" s="554"/>
      <c r="D6" s="554"/>
      <c r="E6" s="555"/>
      <c r="F6" s="467" t="s">
        <v>0</v>
      </c>
      <c r="G6" s="468" t="s">
        <v>1</v>
      </c>
      <c r="H6" s="469" t="s">
        <v>13</v>
      </c>
      <c r="I6" s="450" t="s">
        <v>15</v>
      </c>
    </row>
    <row r="7" spans="1:10" ht="15.75" thickTop="1" x14ac:dyDescent="0.25">
      <c r="A7" s="559" t="s">
        <v>16</v>
      </c>
      <c r="B7" s="560"/>
      <c r="C7" s="560"/>
      <c r="D7" s="560"/>
      <c r="E7" s="561"/>
      <c r="F7" s="470">
        <f>SUM(F8:F16)</f>
        <v>144959000</v>
      </c>
      <c r="G7" s="470">
        <f>SUM(G8:G16)</f>
        <v>205468836.31</v>
      </c>
      <c r="H7" s="470">
        <f>SUM(H8:H16)</f>
        <v>166137890.80000001</v>
      </c>
      <c r="I7" s="451">
        <f t="shared" ref="I7:I16" si="0">H7/G7*100</f>
        <v>80.857950910541177</v>
      </c>
      <c r="J7" s="38" t="s">
        <v>46</v>
      </c>
    </row>
    <row r="8" spans="1:10" x14ac:dyDescent="0.2">
      <c r="A8" s="47" t="s">
        <v>138</v>
      </c>
      <c r="B8" s="48"/>
      <c r="C8" s="48"/>
      <c r="D8" s="48"/>
      <c r="E8" s="49"/>
      <c r="F8" s="471">
        <v>0</v>
      </c>
      <c r="G8" s="471">
        <v>4338000</v>
      </c>
      <c r="H8" s="471">
        <v>3980890.85</v>
      </c>
      <c r="I8" s="452">
        <f t="shared" si="0"/>
        <v>91.76788497003227</v>
      </c>
      <c r="J8" s="438">
        <v>100354</v>
      </c>
    </row>
    <row r="9" spans="1:10" x14ac:dyDescent="0.2">
      <c r="A9" s="47" t="s">
        <v>139</v>
      </c>
      <c r="B9" s="48"/>
      <c r="C9" s="48"/>
      <c r="D9" s="48"/>
      <c r="E9" s="49"/>
      <c r="F9" s="471">
        <v>20833000</v>
      </c>
      <c r="G9" s="471">
        <v>7589000</v>
      </c>
      <c r="H9" s="471">
        <v>7349800</v>
      </c>
      <c r="I9" s="452">
        <f t="shared" si="0"/>
        <v>96.84806957438397</v>
      </c>
      <c r="J9" s="438">
        <v>100537</v>
      </c>
    </row>
    <row r="10" spans="1:10" ht="14.25" customHeight="1" x14ac:dyDescent="0.2">
      <c r="A10" s="47" t="s">
        <v>47</v>
      </c>
      <c r="B10" s="48"/>
      <c r="C10" s="48"/>
      <c r="D10" s="48"/>
      <c r="E10" s="49"/>
      <c r="F10" s="471">
        <v>124126000</v>
      </c>
      <c r="G10" s="471">
        <v>124940000</v>
      </c>
      <c r="H10" s="471">
        <v>96115006.069999993</v>
      </c>
      <c r="I10" s="452">
        <f t="shared" si="0"/>
        <v>76.928930742756521</v>
      </c>
      <c r="J10" s="438">
        <v>100565</v>
      </c>
    </row>
    <row r="11" spans="1:10" ht="14.25" customHeight="1" x14ac:dyDescent="0.2">
      <c r="A11" s="47" t="s">
        <v>140</v>
      </c>
      <c r="B11" s="48"/>
      <c r="C11" s="48"/>
      <c r="D11" s="48"/>
      <c r="E11" s="49"/>
      <c r="F11" s="471">
        <v>0</v>
      </c>
      <c r="G11" s="471">
        <v>16569366</v>
      </c>
      <c r="H11" s="471">
        <v>14208921.710000001</v>
      </c>
      <c r="I11" s="452">
        <f t="shared" si="0"/>
        <v>85.754166514277017</v>
      </c>
      <c r="J11" s="436">
        <v>100221</v>
      </c>
    </row>
    <row r="12" spans="1:10" x14ac:dyDescent="0.2">
      <c r="A12" s="47" t="s">
        <v>48</v>
      </c>
      <c r="B12" s="48"/>
      <c r="C12" s="48"/>
      <c r="D12" s="48"/>
      <c r="E12" s="49"/>
      <c r="F12" s="471">
        <v>0</v>
      </c>
      <c r="G12" s="471">
        <v>28000000</v>
      </c>
      <c r="H12" s="471">
        <v>25901204.399999999</v>
      </c>
      <c r="I12" s="452">
        <f t="shared" si="0"/>
        <v>92.504301428571424</v>
      </c>
      <c r="J12" s="436">
        <v>100347</v>
      </c>
    </row>
    <row r="13" spans="1:10" x14ac:dyDescent="0.2">
      <c r="A13" s="47" t="s">
        <v>49</v>
      </c>
      <c r="B13" s="48"/>
      <c r="C13" s="48"/>
      <c r="D13" s="48"/>
      <c r="E13" s="49"/>
      <c r="F13" s="471">
        <v>0</v>
      </c>
      <c r="G13" s="471">
        <v>11160117</v>
      </c>
      <c r="H13" s="471">
        <v>9658768.4000000004</v>
      </c>
      <c r="I13" s="452">
        <f t="shared" si="0"/>
        <v>86.547196593010639</v>
      </c>
      <c r="J13" s="436">
        <v>100348</v>
      </c>
    </row>
    <row r="14" spans="1:10" x14ac:dyDescent="0.2">
      <c r="A14" s="47" t="s">
        <v>50</v>
      </c>
      <c r="B14" s="48"/>
      <c r="C14" s="48"/>
      <c r="D14" s="48"/>
      <c r="E14" s="49"/>
      <c r="F14" s="471">
        <v>0</v>
      </c>
      <c r="G14" s="471">
        <v>652865</v>
      </c>
      <c r="H14" s="471">
        <v>635425</v>
      </c>
      <c r="I14" s="452">
        <f t="shared" si="0"/>
        <v>97.328697357034002</v>
      </c>
      <c r="J14" s="436">
        <v>100349</v>
      </c>
    </row>
    <row r="15" spans="1:10" x14ac:dyDescent="0.2">
      <c r="A15" s="47" t="s">
        <v>141</v>
      </c>
      <c r="B15" s="48"/>
      <c r="C15" s="48"/>
      <c r="D15" s="48"/>
      <c r="E15" s="49"/>
      <c r="F15" s="471">
        <v>0</v>
      </c>
      <c r="G15" s="471">
        <v>7267295.3099999996</v>
      </c>
      <c r="H15" s="471">
        <v>4058685.81</v>
      </c>
      <c r="I15" s="452">
        <f t="shared" si="0"/>
        <v>55.848642952697084</v>
      </c>
      <c r="J15" s="436">
        <v>100464</v>
      </c>
    </row>
    <row r="16" spans="1:10" ht="13.5" thickBot="1" x14ac:dyDescent="0.25">
      <c r="A16" s="47" t="s">
        <v>142</v>
      </c>
      <c r="B16" s="48"/>
      <c r="C16" s="48"/>
      <c r="D16" s="48"/>
      <c r="E16" s="49"/>
      <c r="F16" s="471">
        <v>0</v>
      </c>
      <c r="G16" s="471">
        <v>4952193</v>
      </c>
      <c r="H16" s="471">
        <v>4229188.5599999996</v>
      </c>
      <c r="I16" s="452">
        <f t="shared" si="0"/>
        <v>85.400317798599517</v>
      </c>
      <c r="J16" s="436">
        <v>100471</v>
      </c>
    </row>
    <row r="17" spans="1:10" s="43" customFormat="1" ht="15.75" thickTop="1" x14ac:dyDescent="0.25">
      <c r="A17" s="121"/>
      <c r="B17" s="121"/>
      <c r="C17" s="121"/>
      <c r="D17" s="121"/>
      <c r="E17" s="121"/>
      <c r="F17" s="472"/>
      <c r="G17" s="453"/>
      <c r="H17" s="473"/>
      <c r="I17" s="453"/>
    </row>
    <row r="18" spans="1:10" ht="15.75" thickBot="1" x14ac:dyDescent="0.3">
      <c r="A18" s="27" t="s">
        <v>184</v>
      </c>
      <c r="B18" s="27"/>
      <c r="C18" s="27"/>
      <c r="D18" s="27"/>
      <c r="E18" s="27"/>
      <c r="I18" s="42" t="s">
        <v>27</v>
      </c>
    </row>
    <row r="19" spans="1:10" s="43" customFormat="1" ht="16.5" thickTop="1" thickBot="1" x14ac:dyDescent="0.3">
      <c r="A19" s="553" t="s">
        <v>14</v>
      </c>
      <c r="B19" s="554"/>
      <c r="C19" s="554"/>
      <c r="D19" s="554"/>
      <c r="E19" s="555"/>
      <c r="F19" s="467" t="s">
        <v>0</v>
      </c>
      <c r="G19" s="468" t="s">
        <v>1</v>
      </c>
      <c r="H19" s="469" t="s">
        <v>13</v>
      </c>
      <c r="I19" s="450" t="s">
        <v>15</v>
      </c>
    </row>
    <row r="20" spans="1:10" s="43" customFormat="1" ht="15.75" thickTop="1" x14ac:dyDescent="0.25">
      <c r="A20" s="559" t="s">
        <v>16</v>
      </c>
      <c r="B20" s="560"/>
      <c r="C20" s="560"/>
      <c r="D20" s="560"/>
      <c r="E20" s="561"/>
      <c r="F20" s="470">
        <f>SUM(F21:F26)</f>
        <v>0</v>
      </c>
      <c r="G20" s="470">
        <f>SUM(G21:G26)</f>
        <v>32206440.620000001</v>
      </c>
      <c r="H20" s="470">
        <f>SUM(H21:H26)</f>
        <v>32206440.620000001</v>
      </c>
      <c r="I20" s="451">
        <f t="shared" ref="I20:I26" si="1">H20/G20*100</f>
        <v>100</v>
      </c>
    </row>
    <row r="21" spans="1:10" s="43" customFormat="1" ht="21" customHeight="1" x14ac:dyDescent="0.25">
      <c r="A21" s="565" t="s">
        <v>185</v>
      </c>
      <c r="B21" s="566"/>
      <c r="C21" s="566"/>
      <c r="D21" s="566"/>
      <c r="E21" s="567"/>
      <c r="F21" s="471">
        <v>0</v>
      </c>
      <c r="G21" s="471">
        <v>2907630.1</v>
      </c>
      <c r="H21" s="471">
        <v>2907630.1</v>
      </c>
      <c r="I21" s="452">
        <f t="shared" si="1"/>
        <v>100</v>
      </c>
      <c r="J21" s="43">
        <v>1043</v>
      </c>
    </row>
    <row r="22" spans="1:10" s="43" customFormat="1" ht="23.25" customHeight="1" x14ac:dyDescent="0.25">
      <c r="A22" s="565" t="s">
        <v>187</v>
      </c>
      <c r="B22" s="566"/>
      <c r="C22" s="566"/>
      <c r="D22" s="566"/>
      <c r="E22" s="567"/>
      <c r="F22" s="471">
        <v>0</v>
      </c>
      <c r="G22" s="471">
        <v>3978722.9</v>
      </c>
      <c r="H22" s="471">
        <v>3978722.9</v>
      </c>
      <c r="I22" s="452">
        <f t="shared" si="1"/>
        <v>100</v>
      </c>
      <c r="J22" s="43">
        <v>1106</v>
      </c>
    </row>
    <row r="23" spans="1:10" s="43" customFormat="1" ht="27" customHeight="1" x14ac:dyDescent="0.25">
      <c r="A23" s="565" t="s">
        <v>186</v>
      </c>
      <c r="B23" s="566"/>
      <c r="C23" s="566"/>
      <c r="D23" s="566"/>
      <c r="E23" s="567"/>
      <c r="F23" s="471">
        <v>0</v>
      </c>
      <c r="G23" s="471">
        <v>12045349.1</v>
      </c>
      <c r="H23" s="471">
        <v>12045349.1</v>
      </c>
      <c r="I23" s="452">
        <f t="shared" si="1"/>
        <v>100</v>
      </c>
      <c r="J23" s="43">
        <v>1121</v>
      </c>
    </row>
    <row r="24" spans="1:10" s="43" customFormat="1" ht="25.5" customHeight="1" x14ac:dyDescent="0.25">
      <c r="A24" s="565" t="s">
        <v>188</v>
      </c>
      <c r="B24" s="566"/>
      <c r="C24" s="566"/>
      <c r="D24" s="566"/>
      <c r="E24" s="567"/>
      <c r="F24" s="471">
        <v>0</v>
      </c>
      <c r="G24" s="471">
        <v>7305797</v>
      </c>
      <c r="H24" s="471">
        <v>7305797</v>
      </c>
      <c r="I24" s="452">
        <f t="shared" si="1"/>
        <v>100</v>
      </c>
      <c r="J24" s="43">
        <v>1142</v>
      </c>
    </row>
    <row r="25" spans="1:10" s="43" customFormat="1" ht="22.5" customHeight="1" x14ac:dyDescent="0.25">
      <c r="A25" s="565" t="s">
        <v>189</v>
      </c>
      <c r="B25" s="566"/>
      <c r="C25" s="566"/>
      <c r="D25" s="566"/>
      <c r="E25" s="567"/>
      <c r="F25" s="471">
        <v>0</v>
      </c>
      <c r="G25" s="471">
        <v>1968784.52</v>
      </c>
      <c r="H25" s="471">
        <v>1968784.52</v>
      </c>
      <c r="I25" s="452">
        <f t="shared" si="1"/>
        <v>100</v>
      </c>
      <c r="J25" s="43">
        <v>1153</v>
      </c>
    </row>
    <row r="26" spans="1:10" s="43" customFormat="1" ht="23.25" customHeight="1" thickBot="1" x14ac:dyDescent="0.3">
      <c r="A26" s="565" t="s">
        <v>190</v>
      </c>
      <c r="B26" s="566"/>
      <c r="C26" s="566"/>
      <c r="D26" s="566"/>
      <c r="E26" s="567"/>
      <c r="F26" s="471">
        <v>0</v>
      </c>
      <c r="G26" s="471">
        <v>4000157</v>
      </c>
      <c r="H26" s="471">
        <v>4000157</v>
      </c>
      <c r="I26" s="452">
        <f t="shared" si="1"/>
        <v>100</v>
      </c>
      <c r="J26" s="43">
        <v>1212</v>
      </c>
    </row>
    <row r="27" spans="1:10" s="43" customFormat="1" ht="15.75" thickTop="1" x14ac:dyDescent="0.25">
      <c r="A27" s="121"/>
      <c r="B27" s="121"/>
      <c r="C27" s="121"/>
      <c r="D27" s="121"/>
      <c r="E27" s="121"/>
      <c r="F27" s="472"/>
      <c r="G27" s="453"/>
      <c r="H27" s="473"/>
      <c r="I27" s="453"/>
      <c r="J27" s="122"/>
    </row>
    <row r="28" spans="1:10" s="123" customFormat="1" ht="18.75" thickBot="1" x14ac:dyDescent="0.3">
      <c r="A28" s="124" t="s">
        <v>191</v>
      </c>
      <c r="B28" s="125"/>
      <c r="C28" s="125"/>
      <c r="D28" s="125"/>
      <c r="E28" s="125"/>
      <c r="F28" s="474">
        <f>F7+F20</f>
        <v>144959000</v>
      </c>
      <c r="G28" s="474">
        <f t="shared" ref="G28:H28" si="2">G7+G20</f>
        <v>237675276.93000001</v>
      </c>
      <c r="H28" s="474">
        <f t="shared" si="2"/>
        <v>198344331.42000002</v>
      </c>
      <c r="I28" s="449">
        <f>H28/G28*100</f>
        <v>83.451814585837752</v>
      </c>
      <c r="J28" s="26"/>
    </row>
    <row r="29" spans="1:10" s="123" customFormat="1" ht="18.75" thickTop="1" x14ac:dyDescent="0.25">
      <c r="A29" s="126"/>
      <c r="B29" s="127"/>
      <c r="C29" s="127"/>
      <c r="D29" s="127"/>
      <c r="E29" s="127"/>
      <c r="F29" s="475"/>
      <c r="G29" s="475"/>
      <c r="H29" s="475"/>
      <c r="I29" s="454"/>
      <c r="J29" s="26"/>
    </row>
    <row r="30" spans="1:10" ht="18.75" customHeight="1" x14ac:dyDescent="0.25">
      <c r="A30" s="26" t="s">
        <v>194</v>
      </c>
    </row>
    <row r="31" spans="1:10" ht="15.75" thickBot="1" x14ac:dyDescent="0.3">
      <c r="A31" s="27" t="s">
        <v>183</v>
      </c>
      <c r="B31" s="27"/>
      <c r="C31" s="27"/>
      <c r="D31" s="27"/>
      <c r="E31" s="27"/>
      <c r="I31" s="42" t="s">
        <v>27</v>
      </c>
    </row>
    <row r="32" spans="1:10" s="43" customFormat="1" ht="16.5" thickTop="1" thickBot="1" x14ac:dyDescent="0.3">
      <c r="A32" s="553" t="s">
        <v>14</v>
      </c>
      <c r="B32" s="554"/>
      <c r="C32" s="554"/>
      <c r="D32" s="554"/>
      <c r="E32" s="555"/>
      <c r="F32" s="467" t="s">
        <v>0</v>
      </c>
      <c r="G32" s="468" t="s">
        <v>1</v>
      </c>
      <c r="H32" s="469" t="s">
        <v>13</v>
      </c>
      <c r="I32" s="450" t="s">
        <v>15</v>
      </c>
    </row>
    <row r="33" spans="1:10" s="43" customFormat="1" ht="15.75" thickTop="1" x14ac:dyDescent="0.25">
      <c r="A33" s="559" t="s">
        <v>18</v>
      </c>
      <c r="B33" s="560"/>
      <c r="C33" s="560"/>
      <c r="D33" s="560"/>
      <c r="E33" s="561"/>
      <c r="F33" s="470">
        <f>SUM(F34:F45)</f>
        <v>98916000</v>
      </c>
      <c r="G33" s="470">
        <f>SUM(G34:G45)</f>
        <v>89791375</v>
      </c>
      <c r="H33" s="470">
        <f>SUM(H34:H45)</f>
        <v>80778771.590000004</v>
      </c>
      <c r="I33" s="451">
        <f t="shared" ref="I33:I44" si="3">H33/G33*100</f>
        <v>89.962729259909437</v>
      </c>
      <c r="J33" s="54" t="s">
        <v>39</v>
      </c>
    </row>
    <row r="34" spans="1:10" x14ac:dyDescent="0.2">
      <c r="A34" s="562" t="s">
        <v>133</v>
      </c>
      <c r="B34" s="563"/>
      <c r="C34" s="563"/>
      <c r="D34" s="563"/>
      <c r="E34" s="564"/>
      <c r="F34" s="471">
        <v>0</v>
      </c>
      <c r="G34" s="471">
        <v>12042850</v>
      </c>
      <c r="H34" s="471">
        <v>7241022.0999999996</v>
      </c>
      <c r="I34" s="452">
        <f t="shared" si="3"/>
        <v>60.127146813254342</v>
      </c>
      <c r="J34" s="436">
        <v>100123</v>
      </c>
    </row>
    <row r="35" spans="1:10" x14ac:dyDescent="0.2">
      <c r="A35" s="47" t="s">
        <v>163</v>
      </c>
      <c r="B35" s="48"/>
      <c r="C35" s="48"/>
      <c r="D35" s="48"/>
      <c r="E35" s="49"/>
      <c r="F35" s="471">
        <v>0</v>
      </c>
      <c r="G35" s="471">
        <v>2274746</v>
      </c>
      <c r="H35" s="471">
        <v>1539608</v>
      </c>
      <c r="I35" s="452">
        <f t="shared" si="3"/>
        <v>67.682633577551073</v>
      </c>
      <c r="J35" s="436">
        <v>100250</v>
      </c>
    </row>
    <row r="36" spans="1:10" x14ac:dyDescent="0.2">
      <c r="A36" s="47" t="s">
        <v>40</v>
      </c>
      <c r="B36" s="48"/>
      <c r="C36" s="48"/>
      <c r="D36" s="48"/>
      <c r="E36" s="49"/>
      <c r="F36" s="471">
        <v>0</v>
      </c>
      <c r="G36" s="471">
        <v>12344123</v>
      </c>
      <c r="H36" s="471">
        <v>10285636.300000001</v>
      </c>
      <c r="I36" s="452">
        <f t="shared" si="3"/>
        <v>83.324155956644319</v>
      </c>
      <c r="J36" s="436">
        <v>100327</v>
      </c>
    </row>
    <row r="37" spans="1:10" x14ac:dyDescent="0.2">
      <c r="A37" s="47" t="s">
        <v>134</v>
      </c>
      <c r="B37" s="48"/>
      <c r="C37" s="48"/>
      <c r="D37" s="48"/>
      <c r="E37" s="49"/>
      <c r="F37" s="471">
        <v>0</v>
      </c>
      <c r="G37" s="471">
        <v>17333000</v>
      </c>
      <c r="H37" s="471">
        <v>17173781.5</v>
      </c>
      <c r="I37" s="452">
        <f t="shared" si="3"/>
        <v>99.08141406565511</v>
      </c>
      <c r="J37" s="438">
        <v>100089</v>
      </c>
    </row>
    <row r="38" spans="1:10" x14ac:dyDescent="0.2">
      <c r="A38" s="47" t="s">
        <v>41</v>
      </c>
      <c r="B38" s="48"/>
      <c r="C38" s="48"/>
      <c r="D38" s="48"/>
      <c r="E38" s="49"/>
      <c r="F38" s="471">
        <v>13000000</v>
      </c>
      <c r="G38" s="471">
        <v>16937156</v>
      </c>
      <c r="H38" s="471">
        <v>16884122.5</v>
      </c>
      <c r="I38" s="452">
        <f t="shared" si="3"/>
        <v>99.686880725429944</v>
      </c>
      <c r="J38" s="438">
        <v>100258</v>
      </c>
    </row>
    <row r="39" spans="1:10" x14ac:dyDescent="0.2">
      <c r="A39" s="47" t="s">
        <v>135</v>
      </c>
      <c r="B39" s="48"/>
      <c r="C39" s="48"/>
      <c r="D39" s="48"/>
      <c r="E39" s="49"/>
      <c r="F39" s="471">
        <v>0</v>
      </c>
      <c r="G39" s="471">
        <v>7457000</v>
      </c>
      <c r="H39" s="471">
        <v>6812750.5499999998</v>
      </c>
      <c r="I39" s="452">
        <f t="shared" si="3"/>
        <v>91.36047405122703</v>
      </c>
      <c r="J39" s="438">
        <v>100328</v>
      </c>
    </row>
    <row r="40" spans="1:10" x14ac:dyDescent="0.2">
      <c r="A40" s="47" t="s">
        <v>42</v>
      </c>
      <c r="B40" s="48"/>
      <c r="C40" s="48"/>
      <c r="D40" s="48"/>
      <c r="E40" s="49"/>
      <c r="F40" s="471">
        <v>3500000</v>
      </c>
      <c r="G40" s="471">
        <v>5031000</v>
      </c>
      <c r="H40" s="471">
        <v>4957726.8</v>
      </c>
      <c r="I40" s="452">
        <f t="shared" si="3"/>
        <v>98.543565891472866</v>
      </c>
      <c r="J40" s="438">
        <v>100401</v>
      </c>
    </row>
    <row r="41" spans="1:10" x14ac:dyDescent="0.2">
      <c r="A41" s="47" t="s">
        <v>43</v>
      </c>
      <c r="B41" s="48"/>
      <c r="C41" s="48"/>
      <c r="D41" s="48"/>
      <c r="E41" s="49"/>
      <c r="F41" s="471">
        <v>0</v>
      </c>
      <c r="G41" s="471">
        <v>316000</v>
      </c>
      <c r="H41" s="471">
        <v>307701.90000000002</v>
      </c>
      <c r="I41" s="452">
        <f t="shared" si="3"/>
        <v>97.374018987341785</v>
      </c>
      <c r="J41" s="438">
        <v>100405</v>
      </c>
    </row>
    <row r="42" spans="1:10" x14ac:dyDescent="0.2">
      <c r="A42" s="47" t="s">
        <v>44</v>
      </c>
      <c r="B42" s="48"/>
      <c r="C42" s="48"/>
      <c r="D42" s="48"/>
      <c r="E42" s="49"/>
      <c r="F42" s="471">
        <v>9900000</v>
      </c>
      <c r="G42" s="471">
        <v>4820000</v>
      </c>
      <c r="H42" s="471">
        <v>4342987.4000000004</v>
      </c>
      <c r="I42" s="452">
        <f t="shared" si="3"/>
        <v>90.103473029045659</v>
      </c>
      <c r="J42" s="438">
        <v>100409</v>
      </c>
    </row>
    <row r="43" spans="1:10" x14ac:dyDescent="0.2">
      <c r="A43" s="47" t="s">
        <v>136</v>
      </c>
      <c r="B43" s="48"/>
      <c r="C43" s="48"/>
      <c r="D43" s="48"/>
      <c r="E43" s="49"/>
      <c r="F43" s="471">
        <v>4483000</v>
      </c>
      <c r="G43" s="471">
        <v>85500</v>
      </c>
      <c r="H43" s="471">
        <v>85500</v>
      </c>
      <c r="I43" s="452">
        <f t="shared" si="3"/>
        <v>100</v>
      </c>
      <c r="J43" s="438">
        <v>100540</v>
      </c>
    </row>
    <row r="44" spans="1:10" x14ac:dyDescent="0.2">
      <c r="A44" s="47" t="s">
        <v>45</v>
      </c>
      <c r="B44" s="48"/>
      <c r="C44" s="48"/>
      <c r="D44" s="48"/>
      <c r="E44" s="49"/>
      <c r="F44" s="471">
        <v>9700000</v>
      </c>
      <c r="G44" s="471">
        <v>11150000</v>
      </c>
      <c r="H44" s="471">
        <v>11147934.539999999</v>
      </c>
      <c r="I44" s="452">
        <f t="shared" si="3"/>
        <v>99.98147569506726</v>
      </c>
      <c r="J44" s="438">
        <v>100541</v>
      </c>
    </row>
    <row r="45" spans="1:10" ht="13.5" thickBot="1" x14ac:dyDescent="0.25">
      <c r="A45" s="47" t="s">
        <v>137</v>
      </c>
      <c r="B45" s="48"/>
      <c r="C45" s="48"/>
      <c r="D45" s="48"/>
      <c r="E45" s="49"/>
      <c r="F45" s="471">
        <v>58333000</v>
      </c>
      <c r="G45" s="471">
        <v>0</v>
      </c>
      <c r="H45" s="471">
        <v>0</v>
      </c>
      <c r="I45" s="452">
        <v>0</v>
      </c>
      <c r="J45" s="438">
        <v>100656</v>
      </c>
    </row>
    <row r="46" spans="1:10" s="43" customFormat="1" ht="15.75" thickTop="1" x14ac:dyDescent="0.25">
      <c r="A46" s="121"/>
      <c r="B46" s="121"/>
      <c r="C46" s="121"/>
      <c r="D46" s="121"/>
      <c r="E46" s="121"/>
      <c r="F46" s="472"/>
      <c r="G46" s="453"/>
      <c r="H46" s="473"/>
      <c r="I46" s="453"/>
      <c r="J46" s="122"/>
    </row>
    <row r="47" spans="1:10" ht="15.75" thickBot="1" x14ac:dyDescent="0.3">
      <c r="A47" s="27" t="s">
        <v>184</v>
      </c>
      <c r="B47" s="27"/>
      <c r="C47" s="27"/>
      <c r="D47" s="27"/>
      <c r="E47" s="27"/>
      <c r="I47" s="42" t="s">
        <v>27</v>
      </c>
    </row>
    <row r="48" spans="1:10" s="43" customFormat="1" ht="16.5" thickTop="1" thickBot="1" x14ac:dyDescent="0.3">
      <c r="A48" s="553" t="s">
        <v>14</v>
      </c>
      <c r="B48" s="554"/>
      <c r="C48" s="554"/>
      <c r="D48" s="554"/>
      <c r="E48" s="555"/>
      <c r="F48" s="467" t="s">
        <v>0</v>
      </c>
      <c r="G48" s="468" t="s">
        <v>1</v>
      </c>
      <c r="H48" s="469" t="s">
        <v>13</v>
      </c>
      <c r="I48" s="450" t="s">
        <v>15</v>
      </c>
    </row>
    <row r="49" spans="1:10" s="43" customFormat="1" ht="15.75" thickTop="1" x14ac:dyDescent="0.25">
      <c r="A49" s="559" t="s">
        <v>18</v>
      </c>
      <c r="B49" s="560"/>
      <c r="C49" s="560"/>
      <c r="D49" s="560"/>
      <c r="E49" s="561"/>
      <c r="F49" s="470">
        <f>SUM(F50:F50)</f>
        <v>0</v>
      </c>
      <c r="G49" s="470">
        <f>SUM(G50:G50)</f>
        <v>1523810.7</v>
      </c>
      <c r="H49" s="470">
        <f>SUM(H50:H50)</f>
        <v>1523810.7</v>
      </c>
      <c r="I49" s="451">
        <f>H49/G49*100</f>
        <v>100</v>
      </c>
    </row>
    <row r="50" spans="1:10" s="43" customFormat="1" ht="26.25" customHeight="1" thickBot="1" x14ac:dyDescent="0.3">
      <c r="A50" s="565" t="s">
        <v>192</v>
      </c>
      <c r="B50" s="566"/>
      <c r="C50" s="566"/>
      <c r="D50" s="566"/>
      <c r="E50" s="567"/>
      <c r="F50" s="471">
        <v>0</v>
      </c>
      <c r="G50" s="471">
        <v>1523810.7</v>
      </c>
      <c r="H50" s="471">
        <v>1523810.7</v>
      </c>
      <c r="I50" s="452">
        <f>H50/G50*100</f>
        <v>100</v>
      </c>
      <c r="J50" s="43">
        <v>1637</v>
      </c>
    </row>
    <row r="51" spans="1:10" s="43" customFormat="1" ht="15.75" thickTop="1" x14ac:dyDescent="0.25">
      <c r="A51" s="121"/>
      <c r="B51" s="121"/>
      <c r="C51" s="121"/>
      <c r="D51" s="121"/>
      <c r="E51" s="121"/>
      <c r="F51" s="472"/>
      <c r="G51" s="453"/>
      <c r="H51" s="473"/>
      <c r="I51" s="453"/>
      <c r="J51" s="122"/>
    </row>
    <row r="52" spans="1:10" s="123" customFormat="1" ht="18.75" thickBot="1" x14ac:dyDescent="0.3">
      <c r="A52" s="124" t="s">
        <v>193</v>
      </c>
      <c r="B52" s="125"/>
      <c r="C52" s="125"/>
      <c r="D52" s="125"/>
      <c r="E52" s="125"/>
      <c r="F52" s="474">
        <f>F33+F49</f>
        <v>98916000</v>
      </c>
      <c r="G52" s="474">
        <f t="shared" ref="G52:H52" si="4">G33+G49</f>
        <v>91315185.700000003</v>
      </c>
      <c r="H52" s="474">
        <f t="shared" si="4"/>
        <v>82302582.290000007</v>
      </c>
      <c r="I52" s="449">
        <f>H52/G52*100</f>
        <v>90.130224955562895</v>
      </c>
      <c r="J52" s="26"/>
    </row>
    <row r="53" spans="1:10" s="43" customFormat="1" ht="15.75" thickTop="1" x14ac:dyDescent="0.25">
      <c r="A53" s="121"/>
      <c r="B53" s="121"/>
      <c r="C53" s="121"/>
      <c r="D53" s="121"/>
      <c r="E53" s="121"/>
      <c r="F53" s="472"/>
      <c r="G53" s="453"/>
      <c r="H53" s="473"/>
      <c r="I53" s="453"/>
      <c r="J53" s="122"/>
    </row>
    <row r="54" spans="1:10" ht="18.75" customHeight="1" x14ac:dyDescent="0.25">
      <c r="A54" s="26" t="s">
        <v>195</v>
      </c>
    </row>
    <row r="55" spans="1:10" ht="15.75" thickBot="1" x14ac:dyDescent="0.3">
      <c r="A55" s="27" t="s">
        <v>183</v>
      </c>
      <c r="B55" s="27"/>
      <c r="C55" s="27"/>
      <c r="D55" s="27"/>
      <c r="E55" s="27"/>
      <c r="I55" s="42" t="s">
        <v>27</v>
      </c>
    </row>
    <row r="56" spans="1:10" s="43" customFormat="1" ht="16.5" thickTop="1" thickBot="1" x14ac:dyDescent="0.3">
      <c r="A56" s="553" t="s">
        <v>14</v>
      </c>
      <c r="B56" s="554"/>
      <c r="C56" s="554"/>
      <c r="D56" s="554"/>
      <c r="E56" s="555"/>
      <c r="F56" s="467" t="s">
        <v>0</v>
      </c>
      <c r="G56" s="468" t="s">
        <v>1</v>
      </c>
      <c r="H56" s="469" t="s">
        <v>13</v>
      </c>
      <c r="I56" s="450" t="s">
        <v>15</v>
      </c>
    </row>
    <row r="57" spans="1:10" ht="15.75" thickTop="1" x14ac:dyDescent="0.25">
      <c r="A57" s="559" t="s">
        <v>17</v>
      </c>
      <c r="B57" s="560"/>
      <c r="C57" s="560"/>
      <c r="D57" s="560"/>
      <c r="E57" s="561"/>
      <c r="F57" s="470">
        <f>SUM(F58:F58)</f>
        <v>12500000</v>
      </c>
      <c r="G57" s="470">
        <f>SUM(G58:G58)</f>
        <v>5099944</v>
      </c>
      <c r="H57" s="470">
        <f>SUM(H58:H58)</f>
        <v>5099944</v>
      </c>
      <c r="I57" s="451">
        <f>H57/G57*100</f>
        <v>100</v>
      </c>
      <c r="J57" s="38" t="s">
        <v>51</v>
      </c>
    </row>
    <row r="58" spans="1:10" s="441" customFormat="1" ht="28.5" customHeight="1" thickBot="1" x14ac:dyDescent="0.25">
      <c r="A58" s="568" t="s">
        <v>143</v>
      </c>
      <c r="B58" s="569"/>
      <c r="C58" s="569"/>
      <c r="D58" s="569"/>
      <c r="E58" s="570"/>
      <c r="F58" s="476">
        <v>12500000</v>
      </c>
      <c r="G58" s="476">
        <v>5099944</v>
      </c>
      <c r="H58" s="476">
        <v>5099944</v>
      </c>
      <c r="I58" s="455">
        <f>H58/G58*100</f>
        <v>100</v>
      </c>
      <c r="J58" s="440">
        <v>100657</v>
      </c>
    </row>
    <row r="59" spans="1:10" s="43" customFormat="1" ht="15.75" thickTop="1" x14ac:dyDescent="0.25">
      <c r="A59" s="136"/>
      <c r="B59" s="121"/>
      <c r="C59" s="121"/>
      <c r="D59" s="121"/>
      <c r="E59" s="121"/>
      <c r="F59" s="472"/>
      <c r="G59" s="453"/>
      <c r="H59" s="473"/>
      <c r="I59" s="453"/>
      <c r="J59" s="122"/>
    </row>
    <row r="60" spans="1:10" s="123" customFormat="1" ht="18.75" thickBot="1" x14ac:dyDescent="0.3">
      <c r="A60" s="124" t="s">
        <v>196</v>
      </c>
      <c r="B60" s="125"/>
      <c r="C60" s="125"/>
      <c r="D60" s="125"/>
      <c r="E60" s="125"/>
      <c r="F60" s="474">
        <f>F57</f>
        <v>12500000</v>
      </c>
      <c r="G60" s="474">
        <f>G57</f>
        <v>5099944</v>
      </c>
      <c r="H60" s="474">
        <f>H57</f>
        <v>5099944</v>
      </c>
      <c r="I60" s="449">
        <f>H60/G60*100</f>
        <v>100</v>
      </c>
      <c r="J60" s="26"/>
    </row>
    <row r="61" spans="1:10" s="43" customFormat="1" ht="8.25" customHeight="1" thickTop="1" x14ac:dyDescent="0.25">
      <c r="A61" s="121"/>
      <c r="B61" s="121"/>
      <c r="C61" s="121"/>
      <c r="D61" s="121"/>
      <c r="E61" s="121"/>
      <c r="F61" s="472"/>
      <c r="G61" s="453"/>
      <c r="H61" s="473"/>
      <c r="I61" s="453"/>
      <c r="J61" s="122"/>
    </row>
    <row r="62" spans="1:10" ht="18.75" customHeight="1" x14ac:dyDescent="0.25">
      <c r="A62" s="26" t="s">
        <v>203</v>
      </c>
    </row>
    <row r="63" spans="1:10" ht="15.75" thickBot="1" x14ac:dyDescent="0.3">
      <c r="A63" s="27" t="s">
        <v>183</v>
      </c>
      <c r="B63" s="27"/>
      <c r="C63" s="27"/>
      <c r="D63" s="27"/>
      <c r="E63" s="27"/>
      <c r="I63" s="42" t="s">
        <v>27</v>
      </c>
    </row>
    <row r="64" spans="1:10" s="43" customFormat="1" ht="16.5" thickTop="1" thickBot="1" x14ac:dyDescent="0.3">
      <c r="A64" s="553" t="s">
        <v>14</v>
      </c>
      <c r="B64" s="554"/>
      <c r="C64" s="554"/>
      <c r="D64" s="554"/>
      <c r="E64" s="555"/>
      <c r="F64" s="467" t="s">
        <v>0</v>
      </c>
      <c r="G64" s="468" t="s">
        <v>1</v>
      </c>
      <c r="H64" s="469" t="s">
        <v>13</v>
      </c>
      <c r="I64" s="450" t="s">
        <v>15</v>
      </c>
    </row>
    <row r="65" spans="1:10" ht="15.75" thickTop="1" x14ac:dyDescent="0.25">
      <c r="A65" s="556" t="s">
        <v>20</v>
      </c>
      <c r="B65" s="557"/>
      <c r="C65" s="557"/>
      <c r="D65" s="557"/>
      <c r="E65" s="558"/>
      <c r="F65" s="44">
        <f>SUM(F66:F82)</f>
        <v>246948000</v>
      </c>
      <c r="G65" s="44">
        <f>SUM(G66:G82)</f>
        <v>234997798.56999999</v>
      </c>
      <c r="H65" s="44">
        <f>SUM(H66:H82)</f>
        <v>172577498.21000001</v>
      </c>
      <c r="I65" s="456">
        <f t="shared" ref="I65:I82" si="5">H65/G65*100</f>
        <v>73.437921231672078</v>
      </c>
      <c r="J65" s="38" t="s">
        <v>28</v>
      </c>
    </row>
    <row r="66" spans="1:10" x14ac:dyDescent="0.2">
      <c r="A66" s="111" t="s">
        <v>123</v>
      </c>
      <c r="B66" s="112"/>
      <c r="C66" s="112"/>
      <c r="D66" s="112"/>
      <c r="E66" s="113"/>
      <c r="F66" s="471">
        <v>0</v>
      </c>
      <c r="G66" s="471">
        <v>57000</v>
      </c>
      <c r="H66" s="471">
        <v>56087.35</v>
      </c>
      <c r="I66" s="452">
        <f t="shared" si="5"/>
        <v>98.398859649122812</v>
      </c>
      <c r="J66" s="437">
        <v>100007</v>
      </c>
    </row>
    <row r="67" spans="1:10" x14ac:dyDescent="0.2">
      <c r="A67" s="47" t="s">
        <v>29</v>
      </c>
      <c r="B67" s="112"/>
      <c r="C67" s="112"/>
      <c r="D67" s="112"/>
      <c r="E67" s="113"/>
      <c r="F67" s="471">
        <v>0</v>
      </c>
      <c r="G67" s="471">
        <v>15905000</v>
      </c>
      <c r="H67" s="471">
        <v>14771425.869999999</v>
      </c>
      <c r="I67" s="452">
        <f t="shared" si="5"/>
        <v>92.87284419993712</v>
      </c>
      <c r="J67" s="437">
        <v>100037</v>
      </c>
    </row>
    <row r="68" spans="1:10" x14ac:dyDescent="0.2">
      <c r="A68" s="47" t="s">
        <v>30</v>
      </c>
      <c r="B68" s="52"/>
      <c r="C68" s="52"/>
      <c r="D68" s="52"/>
      <c r="E68" s="53"/>
      <c r="F68" s="471">
        <v>0</v>
      </c>
      <c r="G68" s="471">
        <v>47503342.57</v>
      </c>
      <c r="H68" s="471">
        <v>39131533</v>
      </c>
      <c r="I68" s="452">
        <f t="shared" si="5"/>
        <v>82.376377919799083</v>
      </c>
      <c r="J68" s="437">
        <v>100050</v>
      </c>
    </row>
    <row r="69" spans="1:10" x14ac:dyDescent="0.2">
      <c r="A69" s="47" t="s">
        <v>124</v>
      </c>
      <c r="F69" s="471">
        <v>0</v>
      </c>
      <c r="G69" s="471">
        <v>30300000</v>
      </c>
      <c r="H69" s="471">
        <v>0</v>
      </c>
      <c r="I69" s="452">
        <f t="shared" si="5"/>
        <v>0</v>
      </c>
      <c r="J69" s="437">
        <v>100060</v>
      </c>
    </row>
    <row r="70" spans="1:10" x14ac:dyDescent="0.2">
      <c r="A70" s="47" t="s">
        <v>31</v>
      </c>
      <c r="F70" s="471">
        <v>0</v>
      </c>
      <c r="G70" s="471">
        <v>17500000</v>
      </c>
      <c r="H70" s="471">
        <v>8005544.3399999999</v>
      </c>
      <c r="I70" s="452">
        <f t="shared" si="5"/>
        <v>45.745967657142856</v>
      </c>
      <c r="J70" s="439">
        <v>100114</v>
      </c>
    </row>
    <row r="71" spans="1:10" x14ac:dyDescent="0.2">
      <c r="A71" s="47" t="s">
        <v>125</v>
      </c>
      <c r="B71" s="48"/>
      <c r="C71" s="48"/>
      <c r="D71" s="48"/>
      <c r="E71" s="49"/>
      <c r="F71" s="471">
        <v>0</v>
      </c>
      <c r="G71" s="471">
        <v>19212000</v>
      </c>
      <c r="H71" s="471">
        <v>12079874.42</v>
      </c>
      <c r="I71" s="452">
        <f t="shared" si="5"/>
        <v>62.87671465750573</v>
      </c>
      <c r="J71" s="439">
        <v>100489</v>
      </c>
    </row>
    <row r="72" spans="1:10" x14ac:dyDescent="0.2">
      <c r="A72" s="47" t="s">
        <v>126</v>
      </c>
      <c r="B72" s="48"/>
      <c r="C72" s="48"/>
      <c r="D72" s="48"/>
      <c r="E72" s="49"/>
      <c r="F72" s="471">
        <v>8333000</v>
      </c>
      <c r="G72" s="471">
        <v>0</v>
      </c>
      <c r="H72" s="471">
        <v>0</v>
      </c>
      <c r="I72" s="452">
        <v>0</v>
      </c>
      <c r="J72" s="438">
        <v>100012</v>
      </c>
    </row>
    <row r="73" spans="1:10" x14ac:dyDescent="0.2">
      <c r="A73" s="47" t="s">
        <v>127</v>
      </c>
      <c r="B73" s="48"/>
      <c r="C73" s="48"/>
      <c r="D73" s="48"/>
      <c r="E73" s="49"/>
      <c r="F73" s="471">
        <v>66667000</v>
      </c>
      <c r="G73" s="471">
        <v>0</v>
      </c>
      <c r="H73" s="471">
        <v>0</v>
      </c>
      <c r="I73" s="452">
        <v>0</v>
      </c>
      <c r="J73" s="438">
        <v>100027</v>
      </c>
    </row>
    <row r="74" spans="1:10" x14ac:dyDescent="0.2">
      <c r="A74" s="47" t="s">
        <v>32</v>
      </c>
      <c r="B74" s="48"/>
      <c r="C74" s="48"/>
      <c r="D74" s="48"/>
      <c r="E74" s="49"/>
      <c r="F74" s="471">
        <v>25948000</v>
      </c>
      <c r="G74" s="471">
        <v>25907483</v>
      </c>
      <c r="H74" s="471">
        <v>25894522.109999999</v>
      </c>
      <c r="I74" s="452">
        <f t="shared" si="5"/>
        <v>99.949972407585861</v>
      </c>
      <c r="J74" s="438">
        <v>100104</v>
      </c>
    </row>
    <row r="75" spans="1:10" x14ac:dyDescent="0.2">
      <c r="A75" s="47" t="s">
        <v>128</v>
      </c>
      <c r="B75" s="48"/>
      <c r="C75" s="48"/>
      <c r="D75" s="48"/>
      <c r="E75" s="49"/>
      <c r="F75" s="471">
        <v>14084000</v>
      </c>
      <c r="G75" s="471">
        <v>8784000</v>
      </c>
      <c r="H75" s="471">
        <v>8779073.8699999992</v>
      </c>
      <c r="I75" s="452">
        <f t="shared" si="5"/>
        <v>99.943919285063743</v>
      </c>
      <c r="J75" s="438">
        <v>100108</v>
      </c>
    </row>
    <row r="76" spans="1:10" x14ac:dyDescent="0.2">
      <c r="A76" s="47" t="s">
        <v>31</v>
      </c>
      <c r="B76" s="48"/>
      <c r="C76" s="48"/>
      <c r="D76" s="48"/>
      <c r="E76" s="49"/>
      <c r="F76" s="471">
        <v>12500000</v>
      </c>
      <c r="G76" s="471">
        <v>2197269</v>
      </c>
      <c r="H76" s="471">
        <v>5785</v>
      </c>
      <c r="I76" s="452">
        <f t="shared" si="5"/>
        <v>0.26328137337758828</v>
      </c>
      <c r="J76" s="438">
        <v>100114</v>
      </c>
    </row>
    <row r="77" spans="1:10" x14ac:dyDescent="0.2">
      <c r="A77" s="47" t="s">
        <v>33</v>
      </c>
      <c r="B77" s="48"/>
      <c r="C77" s="48"/>
      <c r="D77" s="48"/>
      <c r="E77" s="49"/>
      <c r="F77" s="471">
        <v>35633000</v>
      </c>
      <c r="G77" s="471">
        <v>50438256.539999999</v>
      </c>
      <c r="H77" s="471">
        <v>50433113.649999999</v>
      </c>
      <c r="I77" s="452">
        <f t="shared" si="5"/>
        <v>99.989803592842435</v>
      </c>
      <c r="J77" s="438">
        <v>100116</v>
      </c>
    </row>
    <row r="78" spans="1:10" x14ac:dyDescent="0.2">
      <c r="A78" s="47" t="s">
        <v>34</v>
      </c>
      <c r="B78" s="48"/>
      <c r="C78" s="48"/>
      <c r="D78" s="48"/>
      <c r="E78" s="49"/>
      <c r="F78" s="471">
        <v>12950000</v>
      </c>
      <c r="G78" s="471">
        <v>3898117</v>
      </c>
      <c r="H78" s="471">
        <v>2733630.2</v>
      </c>
      <c r="I78" s="452">
        <f t="shared" si="5"/>
        <v>70.126940776790434</v>
      </c>
      <c r="J78" s="438">
        <v>100289</v>
      </c>
    </row>
    <row r="79" spans="1:10" x14ac:dyDescent="0.2">
      <c r="A79" s="47" t="s">
        <v>129</v>
      </c>
      <c r="B79" s="48"/>
      <c r="C79" s="48"/>
      <c r="D79" s="48"/>
      <c r="E79" s="49"/>
      <c r="F79" s="471">
        <v>12500000</v>
      </c>
      <c r="G79" s="471">
        <v>1992000</v>
      </c>
      <c r="H79" s="471">
        <v>1659180</v>
      </c>
      <c r="I79" s="452">
        <f t="shared" si="5"/>
        <v>83.2921686746988</v>
      </c>
      <c r="J79" s="438">
        <v>100532</v>
      </c>
    </row>
    <row r="80" spans="1:10" x14ac:dyDescent="0.2">
      <c r="A80" s="47" t="s">
        <v>130</v>
      </c>
      <c r="B80" s="48"/>
      <c r="C80" s="48"/>
      <c r="D80" s="48"/>
      <c r="E80" s="49"/>
      <c r="F80" s="471">
        <v>8333000</v>
      </c>
      <c r="G80" s="471">
        <v>0.46</v>
      </c>
      <c r="H80" s="471">
        <v>0</v>
      </c>
      <c r="I80" s="452">
        <f t="shared" si="5"/>
        <v>0</v>
      </c>
      <c r="J80" s="438">
        <v>100534</v>
      </c>
    </row>
    <row r="81" spans="1:10" x14ac:dyDescent="0.2">
      <c r="A81" s="47" t="s">
        <v>131</v>
      </c>
      <c r="B81" s="48"/>
      <c r="C81" s="48"/>
      <c r="D81" s="48"/>
      <c r="E81" s="49"/>
      <c r="F81" s="471">
        <v>50000000</v>
      </c>
      <c r="G81" s="471">
        <v>0</v>
      </c>
      <c r="H81" s="471">
        <v>0</v>
      </c>
      <c r="I81" s="452">
        <v>0</v>
      </c>
      <c r="J81" s="438">
        <v>100658</v>
      </c>
    </row>
    <row r="82" spans="1:10" ht="13.5" thickBot="1" x14ac:dyDescent="0.25">
      <c r="A82" s="128" t="s">
        <v>132</v>
      </c>
      <c r="B82" s="129"/>
      <c r="C82" s="129"/>
      <c r="D82" s="129"/>
      <c r="E82" s="130"/>
      <c r="F82" s="477">
        <v>0</v>
      </c>
      <c r="G82" s="477">
        <v>11303330</v>
      </c>
      <c r="H82" s="477">
        <v>9027728.4000000004</v>
      </c>
      <c r="I82" s="457">
        <f t="shared" si="5"/>
        <v>79.867865487427153</v>
      </c>
      <c r="J82" s="438">
        <v>100697</v>
      </c>
    </row>
    <row r="83" spans="1:10" ht="13.5" thickTop="1" x14ac:dyDescent="0.2"/>
    <row r="84" spans="1:10" s="43" customFormat="1" ht="15.75" thickBot="1" x14ac:dyDescent="0.3">
      <c r="A84" s="27" t="s">
        <v>199</v>
      </c>
      <c r="B84" s="27"/>
      <c r="C84" s="27"/>
      <c r="D84" s="27"/>
      <c r="E84" s="27"/>
      <c r="F84" s="466"/>
      <c r="G84" s="42"/>
      <c r="H84" s="466"/>
      <c r="I84" s="42" t="s">
        <v>27</v>
      </c>
    </row>
    <row r="85" spans="1:10" ht="14.25" thickTop="1" thickBot="1" x14ac:dyDescent="0.25">
      <c r="A85" s="553" t="s">
        <v>14</v>
      </c>
      <c r="B85" s="554"/>
      <c r="C85" s="554"/>
      <c r="D85" s="554"/>
      <c r="E85" s="555"/>
      <c r="F85" s="467" t="s">
        <v>0</v>
      </c>
      <c r="G85" s="468" t="s">
        <v>1</v>
      </c>
      <c r="H85" s="469" t="s">
        <v>13</v>
      </c>
      <c r="I85" s="450" t="s">
        <v>15</v>
      </c>
    </row>
    <row r="86" spans="1:10" s="59" customFormat="1" ht="15.75" thickTop="1" x14ac:dyDescent="0.25">
      <c r="A86" s="133" t="s">
        <v>53</v>
      </c>
      <c r="B86" s="31"/>
      <c r="C86" s="31"/>
      <c r="D86" s="31"/>
      <c r="E86" s="31"/>
      <c r="F86" s="470">
        <f>SUM(F87:F102)</f>
        <v>88583000</v>
      </c>
      <c r="G86" s="470">
        <f>SUM(G87:G102)</f>
        <v>190127179.82999998</v>
      </c>
      <c r="H86" s="470">
        <f>SUM(H87:H102)</f>
        <v>190127179.82999998</v>
      </c>
      <c r="I86" s="456">
        <f>H86/G86*100</f>
        <v>100</v>
      </c>
    </row>
    <row r="87" spans="1:10" x14ac:dyDescent="0.2">
      <c r="A87" s="134" t="s">
        <v>146</v>
      </c>
      <c r="B87" s="61"/>
      <c r="C87" s="61"/>
      <c r="D87" s="61"/>
      <c r="E87" s="61"/>
      <c r="F87" s="471">
        <v>11500000</v>
      </c>
      <c r="G87" s="60">
        <v>9053755.6600000001</v>
      </c>
      <c r="H87" s="60">
        <v>9053755.6600000001</v>
      </c>
      <c r="I87" s="452">
        <v>0</v>
      </c>
    </row>
    <row r="88" spans="1:10" x14ac:dyDescent="0.2">
      <c r="A88" s="134" t="s">
        <v>147</v>
      </c>
      <c r="B88" s="61"/>
      <c r="C88" s="61"/>
      <c r="D88" s="61"/>
      <c r="E88" s="61"/>
      <c r="F88" s="471">
        <v>19167000</v>
      </c>
      <c r="G88" s="471">
        <v>19167000</v>
      </c>
      <c r="H88" s="471">
        <v>19167000</v>
      </c>
      <c r="I88" s="452">
        <v>0</v>
      </c>
    </row>
    <row r="89" spans="1:10" x14ac:dyDescent="0.2">
      <c r="A89" s="134" t="s">
        <v>148</v>
      </c>
      <c r="B89" s="61"/>
      <c r="C89" s="61"/>
      <c r="D89" s="61"/>
      <c r="E89" s="61"/>
      <c r="F89" s="471">
        <v>9166000</v>
      </c>
      <c r="G89" s="471">
        <v>9166000</v>
      </c>
      <c r="H89" s="471">
        <v>9166000</v>
      </c>
      <c r="I89" s="452">
        <f t="shared" ref="I89:I102" si="6">H89/G89*100</f>
        <v>100</v>
      </c>
      <c r="J89" s="62"/>
    </row>
    <row r="90" spans="1:10" x14ac:dyDescent="0.2">
      <c r="A90" s="135" t="s">
        <v>149</v>
      </c>
      <c r="B90" s="61"/>
      <c r="C90" s="61"/>
      <c r="D90" s="61"/>
      <c r="E90" s="61"/>
      <c r="F90" s="471">
        <v>19167000</v>
      </c>
      <c r="G90" s="471">
        <v>19167000</v>
      </c>
      <c r="H90" s="471">
        <v>19167000</v>
      </c>
      <c r="I90" s="452">
        <f t="shared" si="6"/>
        <v>100</v>
      </c>
    </row>
    <row r="91" spans="1:10" x14ac:dyDescent="0.2">
      <c r="A91" s="134" t="s">
        <v>150</v>
      </c>
      <c r="B91" s="61"/>
      <c r="C91" s="61"/>
      <c r="D91" s="61"/>
      <c r="E91" s="61"/>
      <c r="F91" s="471">
        <v>12500000</v>
      </c>
      <c r="G91" s="471">
        <v>12500000</v>
      </c>
      <c r="H91" s="471">
        <v>12500000</v>
      </c>
      <c r="I91" s="452">
        <f t="shared" si="6"/>
        <v>100</v>
      </c>
    </row>
    <row r="92" spans="1:10" x14ac:dyDescent="0.2">
      <c r="A92" s="134" t="s">
        <v>151</v>
      </c>
      <c r="B92" s="61"/>
      <c r="C92" s="61"/>
      <c r="D92" s="61"/>
      <c r="E92" s="61"/>
      <c r="F92" s="471">
        <v>8750000</v>
      </c>
      <c r="G92" s="471">
        <v>8750000</v>
      </c>
      <c r="H92" s="471">
        <v>8750000</v>
      </c>
      <c r="I92" s="452">
        <f t="shared" si="6"/>
        <v>100</v>
      </c>
    </row>
    <row r="93" spans="1:10" x14ac:dyDescent="0.2">
      <c r="A93" s="134" t="s">
        <v>152</v>
      </c>
      <c r="B93" s="61"/>
      <c r="C93" s="61"/>
      <c r="D93" s="61"/>
      <c r="E93" s="61"/>
      <c r="F93" s="471">
        <v>8333000</v>
      </c>
      <c r="G93" s="471">
        <v>8333000</v>
      </c>
      <c r="H93" s="471">
        <v>8333000</v>
      </c>
      <c r="I93" s="452">
        <f t="shared" si="6"/>
        <v>100</v>
      </c>
    </row>
    <row r="94" spans="1:10" x14ac:dyDescent="0.2">
      <c r="A94" s="134" t="s">
        <v>154</v>
      </c>
      <c r="B94" s="61"/>
      <c r="C94" s="61"/>
      <c r="D94" s="61"/>
      <c r="E94" s="61"/>
      <c r="F94" s="471">
        <v>0</v>
      </c>
      <c r="G94" s="60">
        <v>15417000</v>
      </c>
      <c r="H94" s="60">
        <v>15417000</v>
      </c>
      <c r="I94" s="452">
        <f t="shared" si="6"/>
        <v>100</v>
      </c>
    </row>
    <row r="95" spans="1:10" x14ac:dyDescent="0.2">
      <c r="A95" s="134" t="s">
        <v>155</v>
      </c>
      <c r="B95" s="61"/>
      <c r="C95" s="61"/>
      <c r="D95" s="61"/>
      <c r="E95" s="61"/>
      <c r="F95" s="471">
        <v>0</v>
      </c>
      <c r="G95" s="60">
        <v>21667000</v>
      </c>
      <c r="H95" s="60">
        <v>21667000</v>
      </c>
      <c r="I95" s="452">
        <f t="shared" si="6"/>
        <v>100</v>
      </c>
    </row>
    <row r="96" spans="1:10" x14ac:dyDescent="0.2">
      <c r="A96" s="134" t="s">
        <v>156</v>
      </c>
      <c r="B96" s="61"/>
      <c r="C96" s="61"/>
      <c r="D96" s="61"/>
      <c r="E96" s="61"/>
      <c r="F96" s="471">
        <v>0</v>
      </c>
      <c r="G96" s="60">
        <v>15833000</v>
      </c>
      <c r="H96" s="60">
        <v>15833000</v>
      </c>
      <c r="I96" s="452">
        <f t="shared" si="6"/>
        <v>100</v>
      </c>
    </row>
    <row r="97" spans="1:10" x14ac:dyDescent="0.2">
      <c r="A97" s="134" t="s">
        <v>157</v>
      </c>
      <c r="B97" s="61"/>
      <c r="C97" s="61"/>
      <c r="D97" s="61"/>
      <c r="E97" s="61"/>
      <c r="F97" s="471">
        <v>0</v>
      </c>
      <c r="G97" s="60">
        <v>16250000</v>
      </c>
      <c r="H97" s="60">
        <v>16250000</v>
      </c>
      <c r="I97" s="452">
        <f t="shared" si="6"/>
        <v>100</v>
      </c>
    </row>
    <row r="98" spans="1:10" x14ac:dyDescent="0.2">
      <c r="A98" s="134" t="s">
        <v>158</v>
      </c>
      <c r="B98" s="61"/>
      <c r="C98" s="61"/>
      <c r="D98" s="61"/>
      <c r="E98" s="61"/>
      <c r="F98" s="471">
        <v>0</v>
      </c>
      <c r="G98" s="60">
        <v>8333000</v>
      </c>
      <c r="H98" s="60">
        <v>8333000</v>
      </c>
      <c r="I98" s="452">
        <f t="shared" si="6"/>
        <v>100</v>
      </c>
    </row>
    <row r="99" spans="1:10" x14ac:dyDescent="0.2">
      <c r="A99" s="134" t="s">
        <v>159</v>
      </c>
      <c r="B99" s="61"/>
      <c r="C99" s="61"/>
      <c r="D99" s="61"/>
      <c r="E99" s="61"/>
      <c r="F99" s="471">
        <v>0</v>
      </c>
      <c r="G99" s="60">
        <v>10000000</v>
      </c>
      <c r="H99" s="60">
        <v>10000000</v>
      </c>
      <c r="I99" s="452">
        <f t="shared" si="6"/>
        <v>100</v>
      </c>
    </row>
    <row r="100" spans="1:10" x14ac:dyDescent="0.2">
      <c r="A100" s="134" t="s">
        <v>160</v>
      </c>
      <c r="B100" s="61"/>
      <c r="C100" s="61"/>
      <c r="D100" s="61"/>
      <c r="E100" s="61"/>
      <c r="F100" s="471">
        <v>0</v>
      </c>
      <c r="G100" s="60">
        <v>2350000</v>
      </c>
      <c r="H100" s="60">
        <v>2350000</v>
      </c>
      <c r="I100" s="452">
        <f t="shared" si="6"/>
        <v>100</v>
      </c>
    </row>
    <row r="101" spans="1:10" x14ac:dyDescent="0.2">
      <c r="A101" s="134" t="s">
        <v>161</v>
      </c>
      <c r="B101" s="61"/>
      <c r="C101" s="61"/>
      <c r="D101" s="61"/>
      <c r="E101" s="61"/>
      <c r="F101" s="471">
        <v>0</v>
      </c>
      <c r="G101" s="60">
        <v>2400000</v>
      </c>
      <c r="H101" s="60">
        <v>2400000</v>
      </c>
      <c r="I101" s="452">
        <f t="shared" si="6"/>
        <v>100</v>
      </c>
    </row>
    <row r="102" spans="1:10" ht="13.5" thickBot="1" x14ac:dyDescent="0.25">
      <c r="A102" s="131" t="s">
        <v>153</v>
      </c>
      <c r="B102" s="132"/>
      <c r="C102" s="132"/>
      <c r="D102" s="132"/>
      <c r="E102" s="132"/>
      <c r="F102" s="477">
        <v>0</v>
      </c>
      <c r="G102" s="36">
        <v>11740424.17</v>
      </c>
      <c r="H102" s="36">
        <v>11740424.17</v>
      </c>
      <c r="I102" s="457">
        <f t="shared" si="6"/>
        <v>100</v>
      </c>
    </row>
    <row r="103" spans="1:10" ht="13.5" thickTop="1" x14ac:dyDescent="0.2">
      <c r="H103" s="478"/>
    </row>
    <row r="104" spans="1:10" s="123" customFormat="1" ht="18.75" thickBot="1" x14ac:dyDescent="0.3">
      <c r="A104" s="124" t="s">
        <v>201</v>
      </c>
      <c r="B104" s="125"/>
      <c r="C104" s="125"/>
      <c r="D104" s="125"/>
      <c r="E104" s="125"/>
      <c r="F104" s="474">
        <f>+F86+F65</f>
        <v>335531000</v>
      </c>
      <c r="G104" s="474">
        <f t="shared" ref="G104:H104" si="7">+G86+G65</f>
        <v>425124978.39999998</v>
      </c>
      <c r="H104" s="474">
        <f t="shared" si="7"/>
        <v>362704678.03999996</v>
      </c>
      <c r="I104" s="449">
        <f>H104/G104*100</f>
        <v>85.317188231346691</v>
      </c>
      <c r="J104" s="26"/>
    </row>
    <row r="105" spans="1:10" s="123" customFormat="1" ht="18.75" thickTop="1" x14ac:dyDescent="0.25">
      <c r="A105" s="126"/>
      <c r="B105" s="127"/>
      <c r="C105" s="127"/>
      <c r="D105" s="127"/>
      <c r="E105" s="127"/>
      <c r="F105" s="475"/>
      <c r="G105" s="475"/>
      <c r="H105" s="475"/>
      <c r="I105" s="454"/>
      <c r="J105" s="26"/>
    </row>
    <row r="106" spans="1:10" ht="18.75" customHeight="1" x14ac:dyDescent="0.25">
      <c r="A106" s="26" t="s">
        <v>204</v>
      </c>
    </row>
    <row r="107" spans="1:10" ht="15.75" thickBot="1" x14ac:dyDescent="0.3">
      <c r="A107" s="27" t="s">
        <v>183</v>
      </c>
      <c r="B107" s="27"/>
      <c r="C107" s="27"/>
      <c r="D107" s="27"/>
      <c r="E107" s="27"/>
      <c r="I107" s="42" t="s">
        <v>27</v>
      </c>
    </row>
    <row r="108" spans="1:10" s="43" customFormat="1" ht="16.5" thickTop="1" thickBot="1" x14ac:dyDescent="0.3">
      <c r="A108" s="553" t="s">
        <v>14</v>
      </c>
      <c r="B108" s="554"/>
      <c r="C108" s="554"/>
      <c r="D108" s="554"/>
      <c r="E108" s="555"/>
      <c r="F108" s="467" t="s">
        <v>0</v>
      </c>
      <c r="G108" s="468" t="s">
        <v>1</v>
      </c>
      <c r="H108" s="469" t="s">
        <v>13</v>
      </c>
      <c r="I108" s="450" t="s">
        <v>15</v>
      </c>
    </row>
    <row r="109" spans="1:10" s="43" customFormat="1" ht="15.75" thickTop="1" x14ac:dyDescent="0.25">
      <c r="A109" s="72" t="s">
        <v>19</v>
      </c>
      <c r="B109" s="73"/>
      <c r="C109" s="73"/>
      <c r="D109" s="73"/>
      <c r="E109" s="74"/>
      <c r="F109" s="470">
        <f>SUM(F110:F112)</f>
        <v>833000</v>
      </c>
      <c r="G109" s="470">
        <f>SUM(G110:G112)</f>
        <v>2156817.5</v>
      </c>
      <c r="H109" s="470">
        <f>SUM(H110:H112)</f>
        <v>2155873.5</v>
      </c>
      <c r="I109" s="451">
        <f>H109/G109*100</f>
        <v>99.95623180913546</v>
      </c>
      <c r="J109" s="54" t="s">
        <v>35</v>
      </c>
    </row>
    <row r="110" spans="1:10" x14ac:dyDescent="0.2">
      <c r="A110" s="47" t="s">
        <v>36</v>
      </c>
      <c r="B110" s="48"/>
      <c r="C110" s="48"/>
      <c r="D110" s="48"/>
      <c r="E110" s="49"/>
      <c r="F110" s="471">
        <v>833000</v>
      </c>
      <c r="G110" s="471">
        <v>0</v>
      </c>
      <c r="H110" s="471">
        <v>0</v>
      </c>
      <c r="I110" s="452">
        <v>0</v>
      </c>
      <c r="J110" s="438">
        <v>100301</v>
      </c>
    </row>
    <row r="111" spans="1:10" x14ac:dyDescent="0.2">
      <c r="A111" s="47" t="s">
        <v>37</v>
      </c>
      <c r="B111" s="48"/>
      <c r="C111" s="48"/>
      <c r="D111" s="48"/>
      <c r="E111" s="49"/>
      <c r="F111" s="471">
        <v>0</v>
      </c>
      <c r="G111" s="471">
        <v>2146817.5</v>
      </c>
      <c r="H111" s="471">
        <v>2146345.5</v>
      </c>
      <c r="I111" s="452">
        <f>H111/G111*100</f>
        <v>99.978013967186314</v>
      </c>
      <c r="J111" s="436">
        <v>100014</v>
      </c>
    </row>
    <row r="112" spans="1:10" ht="13.5" thickBot="1" x14ac:dyDescent="0.25">
      <c r="A112" s="47" t="s">
        <v>38</v>
      </c>
      <c r="B112" s="48"/>
      <c r="C112" s="48"/>
      <c r="D112" s="48"/>
      <c r="E112" s="49"/>
      <c r="F112" s="471">
        <v>0</v>
      </c>
      <c r="G112" s="471">
        <v>10000</v>
      </c>
      <c r="H112" s="471">
        <v>9528</v>
      </c>
      <c r="I112" s="452">
        <f>H112/G112*100</f>
        <v>95.28</v>
      </c>
      <c r="J112" s="436">
        <v>100015</v>
      </c>
    </row>
    <row r="113" spans="1:10" s="43" customFormat="1" ht="15.75" thickTop="1" x14ac:dyDescent="0.25">
      <c r="A113" s="121"/>
      <c r="B113" s="121"/>
      <c r="C113" s="121"/>
      <c r="D113" s="121"/>
      <c r="E113" s="121"/>
      <c r="F113" s="472"/>
      <c r="G113" s="453"/>
      <c r="H113" s="473"/>
      <c r="I113" s="453"/>
      <c r="J113" s="122"/>
    </row>
    <row r="114" spans="1:10" ht="15.75" thickBot="1" x14ac:dyDescent="0.3">
      <c r="A114" s="27" t="s">
        <v>184</v>
      </c>
      <c r="B114" s="27"/>
      <c r="C114" s="27"/>
      <c r="D114" s="27"/>
      <c r="E114" s="27"/>
      <c r="I114" s="42" t="s">
        <v>27</v>
      </c>
    </row>
    <row r="115" spans="1:10" s="43" customFormat="1" ht="16.5" thickTop="1" thickBot="1" x14ac:dyDescent="0.3">
      <c r="A115" s="553" t="s">
        <v>14</v>
      </c>
      <c r="B115" s="554"/>
      <c r="C115" s="554"/>
      <c r="D115" s="554"/>
      <c r="E115" s="555"/>
      <c r="F115" s="467" t="s">
        <v>0</v>
      </c>
      <c r="G115" s="468" t="s">
        <v>1</v>
      </c>
      <c r="H115" s="469" t="s">
        <v>13</v>
      </c>
      <c r="I115" s="450" t="s">
        <v>15</v>
      </c>
    </row>
    <row r="116" spans="1:10" s="43" customFormat="1" ht="15.75" thickTop="1" x14ac:dyDescent="0.25">
      <c r="A116" s="559" t="s">
        <v>19</v>
      </c>
      <c r="B116" s="560"/>
      <c r="C116" s="560"/>
      <c r="D116" s="560"/>
      <c r="E116" s="561"/>
      <c r="F116" s="470">
        <f>SUM(F117:F117)</f>
        <v>0</v>
      </c>
      <c r="G116" s="470">
        <f>SUM(G117:G117)</f>
        <v>833000</v>
      </c>
      <c r="H116" s="470">
        <f>SUM(H117:H117)</f>
        <v>833000</v>
      </c>
      <c r="I116" s="451">
        <f>H116/G116*100</f>
        <v>100</v>
      </c>
    </row>
    <row r="117" spans="1:10" s="43" customFormat="1" ht="26.25" customHeight="1" thickBot="1" x14ac:dyDescent="0.3">
      <c r="A117" s="565" t="s">
        <v>197</v>
      </c>
      <c r="B117" s="566"/>
      <c r="C117" s="566"/>
      <c r="D117" s="566"/>
      <c r="E117" s="567"/>
      <c r="F117" s="471">
        <v>0</v>
      </c>
      <c r="G117" s="471">
        <v>833000</v>
      </c>
      <c r="H117" s="471">
        <v>833000</v>
      </c>
      <c r="I117" s="452">
        <f>H117/G117*100</f>
        <v>100</v>
      </c>
      <c r="J117" s="43">
        <v>1637</v>
      </c>
    </row>
    <row r="118" spans="1:10" s="43" customFormat="1" ht="15.75" thickTop="1" x14ac:dyDescent="0.25">
      <c r="A118" s="121"/>
      <c r="B118" s="121"/>
      <c r="C118" s="121"/>
      <c r="D118" s="121"/>
      <c r="E118" s="121"/>
      <c r="F118" s="472"/>
      <c r="G118" s="453"/>
      <c r="H118" s="473"/>
      <c r="I118" s="453"/>
      <c r="J118" s="122"/>
    </row>
    <row r="119" spans="1:10" s="123" customFormat="1" ht="18.75" thickBot="1" x14ac:dyDescent="0.3">
      <c r="A119" s="124" t="s">
        <v>198</v>
      </c>
      <c r="B119" s="125"/>
      <c r="C119" s="125"/>
      <c r="D119" s="125"/>
      <c r="E119" s="125"/>
      <c r="F119" s="474">
        <f>F109+F116</f>
        <v>833000</v>
      </c>
      <c r="G119" s="474">
        <f>G109+G116</f>
        <v>2989817.5</v>
      </c>
      <c r="H119" s="474">
        <f>H109+H116</f>
        <v>2988873.5</v>
      </c>
      <c r="I119" s="449">
        <f>H119/G119*100</f>
        <v>99.968426166480057</v>
      </c>
      <c r="J119" s="26"/>
    </row>
    <row r="120" spans="1:10" s="43" customFormat="1" ht="15.75" thickTop="1" x14ac:dyDescent="0.25">
      <c r="A120" s="121"/>
      <c r="B120" s="121"/>
      <c r="C120" s="121"/>
      <c r="D120" s="121"/>
      <c r="E120" s="121"/>
      <c r="F120" s="472"/>
      <c r="G120" s="453"/>
      <c r="H120" s="473"/>
      <c r="I120" s="453"/>
      <c r="J120" s="122"/>
    </row>
    <row r="121" spans="1:10" ht="18.75" customHeight="1" x14ac:dyDescent="0.25">
      <c r="A121" s="26" t="s">
        <v>200</v>
      </c>
    </row>
    <row r="122" spans="1:10" ht="15.75" thickBot="1" x14ac:dyDescent="0.3">
      <c r="A122" s="27" t="s">
        <v>183</v>
      </c>
      <c r="B122" s="27"/>
      <c r="C122" s="27"/>
      <c r="D122" s="27"/>
      <c r="E122" s="27"/>
      <c r="I122" s="42" t="s">
        <v>27</v>
      </c>
    </row>
    <row r="123" spans="1:10" s="43" customFormat="1" ht="16.5" thickTop="1" thickBot="1" x14ac:dyDescent="0.3">
      <c r="A123" s="553" t="s">
        <v>14</v>
      </c>
      <c r="B123" s="554"/>
      <c r="C123" s="554"/>
      <c r="D123" s="554"/>
      <c r="E123" s="555"/>
      <c r="F123" s="467" t="s">
        <v>0</v>
      </c>
      <c r="G123" s="468" t="s">
        <v>1</v>
      </c>
      <c r="H123" s="469" t="s">
        <v>13</v>
      </c>
      <c r="I123" s="450" t="s">
        <v>15</v>
      </c>
    </row>
    <row r="124" spans="1:10" s="43" customFormat="1" ht="15.75" thickTop="1" x14ac:dyDescent="0.25">
      <c r="A124" s="559" t="s">
        <v>145</v>
      </c>
      <c r="B124" s="560"/>
      <c r="C124" s="560"/>
      <c r="D124" s="560"/>
      <c r="E124" s="561"/>
      <c r="F124" s="470">
        <f>SUM(F125:F125)</f>
        <v>0</v>
      </c>
      <c r="G124" s="470">
        <f>SUM(G125:G125)</f>
        <v>52500000</v>
      </c>
      <c r="H124" s="470">
        <f>SUM(H125:H125)</f>
        <v>46339207</v>
      </c>
      <c r="I124" s="451">
        <f>H124/G124*100</f>
        <v>88.265156190476191</v>
      </c>
      <c r="J124" s="54" t="s">
        <v>52</v>
      </c>
    </row>
    <row r="125" spans="1:10" ht="13.5" thickBot="1" x14ac:dyDescent="0.25">
      <c r="A125" s="128" t="s">
        <v>144</v>
      </c>
      <c r="B125" s="129"/>
      <c r="C125" s="129"/>
      <c r="D125" s="129"/>
      <c r="E125" s="130"/>
      <c r="F125" s="477">
        <v>0</v>
      </c>
      <c r="G125" s="477">
        <v>52500000</v>
      </c>
      <c r="H125" s="477">
        <v>46339207</v>
      </c>
      <c r="I125" s="457"/>
      <c r="J125" s="436">
        <v>100475</v>
      </c>
    </row>
    <row r="126" spans="1:10" ht="15.75" thickTop="1" x14ac:dyDescent="0.25">
      <c r="A126" s="63"/>
      <c r="B126" s="63"/>
      <c r="C126" s="63"/>
      <c r="D126" s="63"/>
      <c r="E126" s="63"/>
      <c r="F126" s="479"/>
      <c r="G126" s="479"/>
      <c r="H126" s="479"/>
      <c r="I126" s="458"/>
      <c r="J126" s="114"/>
    </row>
    <row r="127" spans="1:10" s="123" customFormat="1" ht="18.75" thickBot="1" x14ac:dyDescent="0.3">
      <c r="A127" s="124" t="s">
        <v>202</v>
      </c>
      <c r="B127" s="125"/>
      <c r="C127" s="125"/>
      <c r="D127" s="125"/>
      <c r="E127" s="125"/>
      <c r="F127" s="474">
        <f>F124</f>
        <v>0</v>
      </c>
      <c r="G127" s="474">
        <f>G124</f>
        <v>52500000</v>
      </c>
      <c r="H127" s="474">
        <f>H124</f>
        <v>46339207</v>
      </c>
      <c r="I127" s="449">
        <f>H127/G127*100</f>
        <v>88.265156190476191</v>
      </c>
      <c r="J127" s="26"/>
    </row>
    <row r="128" spans="1:10" ht="15.75" thickTop="1" x14ac:dyDescent="0.25">
      <c r="A128" s="63"/>
      <c r="B128" s="63"/>
      <c r="C128" s="63"/>
      <c r="D128" s="63"/>
      <c r="E128" s="63"/>
      <c r="F128" s="479"/>
      <c r="G128" s="479"/>
      <c r="H128" s="479"/>
      <c r="I128" s="458"/>
      <c r="J128" s="114"/>
    </row>
    <row r="129" spans="1:10" ht="15" x14ac:dyDescent="0.25">
      <c r="A129" s="63"/>
      <c r="B129" s="63"/>
      <c r="C129" s="63"/>
      <c r="D129" s="63"/>
      <c r="E129" s="63"/>
      <c r="F129" s="479"/>
      <c r="G129" s="479"/>
      <c r="H129" s="479"/>
      <c r="I129" s="458"/>
      <c r="J129" s="114"/>
    </row>
    <row r="130" spans="1:10" ht="15" x14ac:dyDescent="0.25">
      <c r="A130" s="63"/>
      <c r="B130" s="63"/>
      <c r="C130" s="63"/>
      <c r="D130" s="63"/>
      <c r="E130" s="63"/>
      <c r="F130" s="479"/>
      <c r="G130" s="479"/>
      <c r="H130" s="479"/>
      <c r="I130" s="458"/>
      <c r="J130" s="114"/>
    </row>
    <row r="131" spans="1:10" ht="15" x14ac:dyDescent="0.25">
      <c r="A131" s="63"/>
      <c r="B131" s="63"/>
      <c r="C131" s="63"/>
      <c r="D131" s="63"/>
      <c r="E131" s="63"/>
      <c r="F131" s="479"/>
      <c r="G131" s="479"/>
      <c r="H131" s="479"/>
      <c r="I131" s="458"/>
    </row>
    <row r="132" spans="1:10" ht="14.25" x14ac:dyDescent="0.2">
      <c r="A132" s="28" t="s">
        <v>21</v>
      </c>
      <c r="B132" s="28"/>
      <c r="C132" s="28"/>
      <c r="D132" s="28"/>
      <c r="E132" s="28"/>
      <c r="F132" s="480"/>
      <c r="G132" s="480"/>
      <c r="H132" s="480"/>
      <c r="I132" s="459"/>
    </row>
    <row r="133" spans="1:10" ht="16.5" customHeight="1" x14ac:dyDescent="0.2">
      <c r="A133" s="31" t="s">
        <v>25</v>
      </c>
      <c r="B133" s="31"/>
      <c r="C133" s="31"/>
      <c r="D133" s="31"/>
      <c r="E133" s="31"/>
      <c r="F133" s="481">
        <f>SUM(F28)</f>
        <v>144959000</v>
      </c>
      <c r="G133" s="481">
        <f t="shared" ref="G133:H133" si="8">SUM(G28)</f>
        <v>237675276.93000001</v>
      </c>
      <c r="H133" s="481">
        <f t="shared" si="8"/>
        <v>198344331.42000002</v>
      </c>
      <c r="I133" s="460">
        <f t="shared" ref="I133:I139" si="9">H133/G133*100</f>
        <v>83.451814585837752</v>
      </c>
    </row>
    <row r="134" spans="1:10" ht="14.25" x14ac:dyDescent="0.2">
      <c r="A134" s="31" t="s">
        <v>24</v>
      </c>
      <c r="B134" s="31"/>
      <c r="C134" s="31"/>
      <c r="D134" s="31"/>
      <c r="E134" s="31"/>
      <c r="F134" s="481">
        <f>SUM(F52)</f>
        <v>98916000</v>
      </c>
      <c r="G134" s="481">
        <f t="shared" ref="G134:H134" si="10">SUM(G52)</f>
        <v>91315185.700000003</v>
      </c>
      <c r="H134" s="481">
        <f t="shared" si="10"/>
        <v>82302582.290000007</v>
      </c>
      <c r="I134" s="460">
        <f>H134/G134*100</f>
        <v>90.130224955562895</v>
      </c>
    </row>
    <row r="135" spans="1:10" ht="14.25" x14ac:dyDescent="0.2">
      <c r="A135" s="31" t="s">
        <v>26</v>
      </c>
      <c r="B135" s="31"/>
      <c r="C135" s="31"/>
      <c r="D135" s="31"/>
      <c r="E135" s="31"/>
      <c r="F135" s="481">
        <f>SUM(F60)</f>
        <v>12500000</v>
      </c>
      <c r="G135" s="481">
        <f t="shared" ref="G135:H135" si="11">SUM(G60)</f>
        <v>5099944</v>
      </c>
      <c r="H135" s="481">
        <f t="shared" si="11"/>
        <v>5099944</v>
      </c>
      <c r="I135" s="460">
        <f>H135/G135*100</f>
        <v>100</v>
      </c>
    </row>
    <row r="136" spans="1:10" ht="14.25" x14ac:dyDescent="0.2">
      <c r="A136" s="31" t="s">
        <v>22</v>
      </c>
      <c r="B136" s="31"/>
      <c r="C136" s="31"/>
      <c r="D136" s="31"/>
      <c r="E136" s="31"/>
      <c r="F136" s="481">
        <f>SUM(F104)</f>
        <v>335531000</v>
      </c>
      <c r="G136" s="481">
        <f t="shared" ref="G136:H136" si="12">SUM(G104)</f>
        <v>425124978.39999998</v>
      </c>
      <c r="H136" s="481">
        <f t="shared" si="12"/>
        <v>362704678.03999996</v>
      </c>
      <c r="I136" s="460">
        <f>H136/G136*100</f>
        <v>85.317188231346691</v>
      </c>
    </row>
    <row r="137" spans="1:10" ht="14.25" x14ac:dyDescent="0.2">
      <c r="A137" s="31" t="s">
        <v>23</v>
      </c>
      <c r="B137" s="31"/>
      <c r="C137" s="31"/>
      <c r="D137" s="31"/>
      <c r="E137" s="31"/>
      <c r="F137" s="481">
        <f>SUM(F119)</f>
        <v>833000</v>
      </c>
      <c r="G137" s="481">
        <f t="shared" ref="G137:H137" si="13">SUM(G119)</f>
        <v>2989817.5</v>
      </c>
      <c r="H137" s="481">
        <f t="shared" si="13"/>
        <v>2988873.5</v>
      </c>
      <c r="I137" s="460">
        <f>H137/G137*100</f>
        <v>99.968426166480057</v>
      </c>
    </row>
    <row r="138" spans="1:10" ht="14.25" x14ac:dyDescent="0.2">
      <c r="A138" s="31" t="s">
        <v>162</v>
      </c>
      <c r="B138" s="31"/>
      <c r="C138" s="31"/>
      <c r="D138" s="31"/>
      <c r="E138" s="31"/>
      <c r="F138" s="481">
        <f>SUM(F127)</f>
        <v>0</v>
      </c>
      <c r="G138" s="481">
        <f t="shared" ref="G138:H138" si="14">SUM(G127)</f>
        <v>52500000</v>
      </c>
      <c r="H138" s="481">
        <f t="shared" si="14"/>
        <v>46339207</v>
      </c>
      <c r="I138" s="460">
        <f t="shared" si="9"/>
        <v>88.265156190476191</v>
      </c>
    </row>
    <row r="139" spans="1:10" ht="15" customHeight="1" thickBot="1" x14ac:dyDescent="0.25">
      <c r="A139" s="33" t="s">
        <v>12</v>
      </c>
      <c r="B139" s="33"/>
      <c r="C139" s="33"/>
      <c r="D139" s="33"/>
      <c r="E139" s="33"/>
      <c r="F139" s="482">
        <f>SUM(F133:F138)</f>
        <v>592739000</v>
      </c>
      <c r="G139" s="482">
        <f t="shared" ref="G139:H139" si="15">SUM(G133:G138)</f>
        <v>814705202.52999997</v>
      </c>
      <c r="H139" s="482">
        <f t="shared" si="15"/>
        <v>697779616.25</v>
      </c>
      <c r="I139" s="461">
        <f t="shared" si="9"/>
        <v>85.648111007896205</v>
      </c>
    </row>
    <row r="140" spans="1:10" ht="14.25" customHeight="1" thickTop="1" x14ac:dyDescent="0.2">
      <c r="F140" s="483"/>
      <c r="G140" s="484"/>
      <c r="H140" s="485"/>
    </row>
    <row r="141" spans="1:10" s="435" customFormat="1" hidden="1" x14ac:dyDescent="0.2">
      <c r="A141" s="434"/>
      <c r="B141" s="434"/>
      <c r="C141" s="434"/>
      <c r="D141" s="434"/>
      <c r="E141" s="434"/>
      <c r="F141" s="486"/>
      <c r="G141" s="487"/>
      <c r="H141" s="488"/>
      <c r="I141" s="462"/>
    </row>
    <row r="142" spans="1:10" hidden="1" x14ac:dyDescent="0.2">
      <c r="E142" s="54" t="s">
        <v>674</v>
      </c>
      <c r="F142" s="430">
        <f>SUM(F143:F149)</f>
        <v>592739000</v>
      </c>
      <c r="G142" s="430">
        <f>SUM(G143:G149)</f>
        <v>814705202.52999997</v>
      </c>
      <c r="H142" s="430">
        <f>SUM(H143:H149)</f>
        <v>697779616.25</v>
      </c>
    </row>
    <row r="143" spans="1:10" hidden="1" x14ac:dyDescent="0.2">
      <c r="E143" s="54" t="s">
        <v>178</v>
      </c>
      <c r="F143" s="428">
        <f>SUM(F8:F10)+SUM(F37:F45)+F58+SUM(F72:F82)+F110</f>
        <v>504156000</v>
      </c>
      <c r="G143" s="428">
        <f>SUM(G8:G10)+SUM(G37:G45)+G58+SUM(G72:G82)+G110</f>
        <v>309617056</v>
      </c>
      <c r="H143" s="428">
        <f>SUM(H8:H10)+SUM(H37:H45)+H58+SUM(H72:H82)+H110</f>
        <v>272791179.33999997</v>
      </c>
      <c r="I143" s="463"/>
    </row>
    <row r="144" spans="1:10" hidden="1" x14ac:dyDescent="0.2">
      <c r="E144" s="54" t="s">
        <v>677</v>
      </c>
      <c r="F144" s="428">
        <f>F20</f>
        <v>0</v>
      </c>
      <c r="G144" s="428">
        <f>G20</f>
        <v>32206440.620000001</v>
      </c>
      <c r="H144" s="428">
        <f>H20</f>
        <v>32206440.620000001</v>
      </c>
    </row>
    <row r="145" spans="1:9" hidden="1" x14ac:dyDescent="0.2">
      <c r="E145" s="54" t="s">
        <v>680</v>
      </c>
      <c r="F145" s="428">
        <f>F49</f>
        <v>0</v>
      </c>
      <c r="G145" s="428">
        <f>G49</f>
        <v>1523810.7</v>
      </c>
      <c r="H145" s="428">
        <f>H49</f>
        <v>1523810.7</v>
      </c>
    </row>
    <row r="146" spans="1:9" hidden="1" x14ac:dyDescent="0.2">
      <c r="E146" s="54" t="s">
        <v>678</v>
      </c>
      <c r="F146" s="428">
        <f>F116</f>
        <v>0</v>
      </c>
      <c r="G146" s="428">
        <f>G116</f>
        <v>833000</v>
      </c>
      <c r="H146" s="428">
        <f>H116</f>
        <v>833000</v>
      </c>
    </row>
    <row r="147" spans="1:9" hidden="1" x14ac:dyDescent="0.2">
      <c r="E147" s="54" t="s">
        <v>679</v>
      </c>
      <c r="F147" s="428">
        <f>F86</f>
        <v>88583000</v>
      </c>
      <c r="G147" s="428">
        <f>G86</f>
        <v>190127179.82999998</v>
      </c>
      <c r="H147" s="428">
        <f>H86</f>
        <v>190127179.82999998</v>
      </c>
    </row>
    <row r="148" spans="1:9" hidden="1" x14ac:dyDescent="0.2">
      <c r="E148" s="120" t="s">
        <v>179</v>
      </c>
      <c r="F148" s="428">
        <f>SUM(F66:F71)</f>
        <v>0</v>
      </c>
      <c r="G148" s="428">
        <f>SUM(G66:G71)</f>
        <v>130477342.56999999</v>
      </c>
      <c r="H148" s="428">
        <f>SUM(H66:H71)</f>
        <v>74044464.980000004</v>
      </c>
      <c r="I148" s="464"/>
    </row>
    <row r="149" spans="1:9" hidden="1" x14ac:dyDescent="0.2">
      <c r="E149" s="120" t="s">
        <v>180</v>
      </c>
      <c r="F149" s="428">
        <f>F125+F112+F111+F34+F35+F36+F11+F12+F13+F14+F15+F16</f>
        <v>0</v>
      </c>
      <c r="G149" s="428">
        <f>G125+G112+G111+G34+G35+G36+G11+G12+G13+G14+G15+G16</f>
        <v>149920372.81</v>
      </c>
      <c r="H149" s="428">
        <f>H125+H112+H111+H34+H35+H36+H11+H12+H13+H14+H15+H16</f>
        <v>126253540.78000003</v>
      </c>
      <c r="I149" s="465"/>
    </row>
    <row r="150" spans="1:9" hidden="1" x14ac:dyDescent="0.2"/>
    <row r="151" spans="1:9" ht="15.75" hidden="1" x14ac:dyDescent="0.25">
      <c r="A151" s="40">
        <v>2011</v>
      </c>
      <c r="C151" s="433" t="s">
        <v>669</v>
      </c>
    </row>
    <row r="152" spans="1:9" hidden="1" x14ac:dyDescent="0.2">
      <c r="C152" s="40">
        <v>8115</v>
      </c>
      <c r="E152" s="428">
        <v>500000000</v>
      </c>
    </row>
    <row r="153" spans="1:9" hidden="1" x14ac:dyDescent="0.2">
      <c r="C153" s="40">
        <v>8223</v>
      </c>
      <c r="E153" s="431">
        <v>413963283.05000001</v>
      </c>
    </row>
    <row r="154" spans="1:9" hidden="1" x14ac:dyDescent="0.2">
      <c r="C154" s="432" t="s">
        <v>670</v>
      </c>
      <c r="E154" s="431">
        <v>58790238.799999997</v>
      </c>
    </row>
    <row r="155" spans="1:9" hidden="1" x14ac:dyDescent="0.2">
      <c r="C155" s="432" t="s">
        <v>671</v>
      </c>
      <c r="E155" s="431">
        <v>1760684.29</v>
      </c>
    </row>
    <row r="156" spans="1:9" hidden="1" x14ac:dyDescent="0.2">
      <c r="C156" s="432" t="s">
        <v>672</v>
      </c>
      <c r="E156" s="429">
        <v>4765</v>
      </c>
    </row>
    <row r="157" spans="1:9" hidden="1" x14ac:dyDescent="0.2">
      <c r="E157" s="430">
        <f>SUM(E152:E156)</f>
        <v>974518971.13999987</v>
      </c>
    </row>
    <row r="158" spans="1:9" hidden="1" x14ac:dyDescent="0.2"/>
    <row r="159" spans="1:9" ht="15.75" hidden="1" x14ac:dyDescent="0.25">
      <c r="C159" s="433" t="s">
        <v>673</v>
      </c>
    </row>
    <row r="160" spans="1:9" hidden="1" x14ac:dyDescent="0.2">
      <c r="C160" s="427" t="s">
        <v>675</v>
      </c>
      <c r="E160" s="442">
        <f>H142</f>
        <v>697779616.25</v>
      </c>
    </row>
    <row r="161" spans="3:6" hidden="1" x14ac:dyDescent="0.2">
      <c r="C161" s="427"/>
      <c r="E161" s="430">
        <f>SUM(E160:E160)</f>
        <v>697779616.25</v>
      </c>
    </row>
    <row r="162" spans="3:6" ht="15.75" hidden="1" x14ac:dyDescent="0.25">
      <c r="C162" s="433" t="s">
        <v>681</v>
      </c>
      <c r="E162" s="428">
        <f>E157-E161</f>
        <v>276739354.88999987</v>
      </c>
    </row>
    <row r="163" spans="3:6" hidden="1" x14ac:dyDescent="0.2"/>
    <row r="164" spans="3:6" ht="15.75" hidden="1" x14ac:dyDescent="0.25">
      <c r="C164" s="433" t="s">
        <v>682</v>
      </c>
      <c r="E164" s="428">
        <v>311227778.69</v>
      </c>
    </row>
    <row r="165" spans="3:6" hidden="1" x14ac:dyDescent="0.2">
      <c r="E165" s="443">
        <v>40000</v>
      </c>
      <c r="F165" s="489" t="s">
        <v>683</v>
      </c>
    </row>
    <row r="166" spans="3:6" hidden="1" x14ac:dyDescent="0.2">
      <c r="E166" s="443">
        <v>9615504.0999999996</v>
      </c>
      <c r="F166" s="489" t="s">
        <v>684</v>
      </c>
    </row>
    <row r="167" spans="3:6" hidden="1" x14ac:dyDescent="0.2">
      <c r="E167" s="444">
        <v>127401.24</v>
      </c>
      <c r="F167" s="490" t="s">
        <v>685</v>
      </c>
    </row>
    <row r="168" spans="3:6" hidden="1" x14ac:dyDescent="0.2">
      <c r="E168" s="430">
        <f>SUM(E164:E167)</f>
        <v>321010684.03000003</v>
      </c>
      <c r="F168" s="491" t="s">
        <v>686</v>
      </c>
    </row>
    <row r="169" spans="3:6" hidden="1" x14ac:dyDescent="0.2">
      <c r="D169" s="427" t="s">
        <v>687</v>
      </c>
      <c r="E169" s="445">
        <v>-97035000</v>
      </c>
      <c r="F169" s="489" t="s">
        <v>688</v>
      </c>
    </row>
    <row r="170" spans="3:6" hidden="1" x14ac:dyDescent="0.2">
      <c r="E170" s="428">
        <f>SUM(E168:E169)</f>
        <v>223975684.03000003</v>
      </c>
    </row>
    <row r="171" spans="3:6" hidden="1" x14ac:dyDescent="0.2">
      <c r="D171" s="427" t="s">
        <v>689</v>
      </c>
      <c r="E171" s="445">
        <v>-223975684.03</v>
      </c>
      <c r="F171" s="492" t="s">
        <v>690</v>
      </c>
    </row>
    <row r="172" spans="3:6" hidden="1" x14ac:dyDescent="0.2">
      <c r="E172" s="428">
        <f>SUM(E170:E171)</f>
        <v>0</v>
      </c>
    </row>
    <row r="173" spans="3:6" hidden="1" x14ac:dyDescent="0.2"/>
    <row r="174" spans="3:6" hidden="1" x14ac:dyDescent="0.2"/>
    <row r="175" spans="3:6" hidden="1" x14ac:dyDescent="0.2"/>
  </sheetData>
  <mergeCells count="28">
    <mergeCell ref="A124:E124"/>
    <mergeCell ref="A48:E48"/>
    <mergeCell ref="A85:E85"/>
    <mergeCell ref="A123:E123"/>
    <mergeCell ref="A108:E108"/>
    <mergeCell ref="A115:E115"/>
    <mergeCell ref="A116:E116"/>
    <mergeCell ref="A56:E56"/>
    <mergeCell ref="A57:E57"/>
    <mergeCell ref="A58:E58"/>
    <mergeCell ref="A49:E49"/>
    <mergeCell ref="A50:E50"/>
    <mergeCell ref="A117:E117"/>
    <mergeCell ref="A64:E64"/>
    <mergeCell ref="A6:E6"/>
    <mergeCell ref="A65:E65"/>
    <mergeCell ref="A19:E19"/>
    <mergeCell ref="A20:E20"/>
    <mergeCell ref="A7:E7"/>
    <mergeCell ref="A34:E34"/>
    <mergeCell ref="A21:E21"/>
    <mergeCell ref="A22:E22"/>
    <mergeCell ref="A33:E33"/>
    <mergeCell ref="A23:E23"/>
    <mergeCell ref="A24:E24"/>
    <mergeCell ref="A25:E25"/>
    <mergeCell ref="A26:E26"/>
    <mergeCell ref="A32:E32"/>
  </mergeCells>
  <phoneticPr fontId="5" type="noConversion"/>
  <pageMargins left="0.86614173228346458" right="0.86614173228346458" top="0.98425196850393704" bottom="0.98425196850393704" header="0.51181102362204722" footer="0.51181102362204722"/>
  <pageSetup paperSize="9" scale="72" firstPageNumber="207" orientation="portrait" r:id="rId1"/>
  <headerFooter alignWithMargins="0">
    <oddFooter>&amp;L&amp;"Arial,Kurzíva"Zastupitelstvo Olomouckého kraje 29.6.2012
5. - Rozpočet Olomouckého kraje 2011 - závěrečný účet 
Příloha č. 8: Přehled financování investičních akcí v roce 2011&amp;R&amp;"Arial,Kurzíva"Strana &amp;P (Celkem 470)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132"/>
  <sheetViews>
    <sheetView showGridLines="0" tabSelected="1" view="pageBreakPreview" zoomScaleNormal="100" zoomScaleSheetLayoutView="100" workbookViewId="0">
      <pane ySplit="1" topLeftCell="A29" activePane="bottomLeft" state="frozen"/>
      <selection pane="bottomLeft" activeCell="J53" sqref="J53"/>
    </sheetView>
  </sheetViews>
  <sheetFormatPr defaultRowHeight="12.75" x14ac:dyDescent="0.2"/>
  <cols>
    <col min="1" max="1" width="76.28515625" style="1" customWidth="1"/>
    <col min="2" max="2" width="16" style="533" customWidth="1"/>
    <col min="3" max="3" width="12.28515625" style="533" hidden="1" customWidth="1"/>
    <col min="4" max="4" width="17.28515625" style="534" customWidth="1"/>
    <col min="5" max="5" width="16.85546875" style="535" customWidth="1"/>
    <col min="6" max="6" width="8.5703125" style="535" customWidth="1"/>
    <col min="7" max="7" width="12.5703125" style="4" customWidth="1"/>
    <col min="8" max="8" width="10.140625" style="1" bestFit="1" customWidth="1"/>
    <col min="9" max="9" width="16.140625" style="1" bestFit="1" customWidth="1"/>
    <col min="10" max="16384" width="9.140625" style="1"/>
  </cols>
  <sheetData>
    <row r="1" spans="1:9" ht="25.5" customHeight="1" x14ac:dyDescent="0.25">
      <c r="A1" s="26" t="s">
        <v>691</v>
      </c>
      <c r="B1" s="493"/>
      <c r="C1" s="493"/>
      <c r="D1" s="493"/>
      <c r="E1" s="494"/>
      <c r="F1" s="494"/>
      <c r="G1" s="6"/>
      <c r="H1" s="2"/>
    </row>
    <row r="2" spans="1:9" s="2" customFormat="1" ht="15.75" x14ac:dyDescent="0.25">
      <c r="A2" s="27" t="s">
        <v>224</v>
      </c>
      <c r="B2" s="495"/>
      <c r="C2" s="495"/>
      <c r="D2" s="495"/>
      <c r="E2" s="494"/>
      <c r="F2" s="494"/>
    </row>
    <row r="3" spans="1:9" s="2" customFormat="1" ht="15.75" x14ac:dyDescent="0.25">
      <c r="A3" s="27"/>
      <c r="B3" s="495"/>
      <c r="C3" s="495"/>
      <c r="D3" s="495"/>
      <c r="E3" s="494"/>
      <c r="F3" s="494"/>
    </row>
    <row r="4" spans="1:9" s="2" customFormat="1" ht="15.75" x14ac:dyDescent="0.25">
      <c r="A4" s="27"/>
      <c r="B4" s="495"/>
      <c r="C4" s="495"/>
      <c r="D4" s="495"/>
      <c r="E4" s="494"/>
      <c r="F4" s="494"/>
    </row>
    <row r="5" spans="1:9" s="38" customFormat="1" ht="18.75" customHeight="1" x14ac:dyDescent="0.25">
      <c r="A5" s="26" t="s">
        <v>182</v>
      </c>
      <c r="B5" s="42"/>
      <c r="C5" s="42"/>
      <c r="D5" s="42"/>
      <c r="E5" s="42"/>
      <c r="F5" s="466"/>
      <c r="H5" s="39"/>
    </row>
    <row r="6" spans="1:9" s="38" customFormat="1" ht="15.75" thickBot="1" x14ac:dyDescent="0.3">
      <c r="A6" s="27" t="s">
        <v>183</v>
      </c>
      <c r="B6" s="496"/>
      <c r="C6" s="496"/>
      <c r="D6" s="496"/>
      <c r="E6" s="496"/>
      <c r="F6" s="466"/>
      <c r="H6" s="39"/>
      <c r="I6" s="42" t="s">
        <v>27</v>
      </c>
    </row>
    <row r="7" spans="1:9" ht="14.25" thickTop="1" thickBot="1" x14ac:dyDescent="0.25">
      <c r="A7" s="25" t="s">
        <v>14</v>
      </c>
      <c r="B7" s="467" t="s">
        <v>0</v>
      </c>
      <c r="C7" s="468" t="s">
        <v>1</v>
      </c>
      <c r="D7" s="468" t="s">
        <v>1</v>
      </c>
      <c r="E7" s="469" t="s">
        <v>13</v>
      </c>
      <c r="F7" s="450" t="s">
        <v>15</v>
      </c>
      <c r="G7" s="1"/>
    </row>
    <row r="8" spans="1:9" ht="16.5" thickTop="1" thickBot="1" x14ac:dyDescent="0.3">
      <c r="A8" s="179" t="s">
        <v>16</v>
      </c>
      <c r="B8" s="82">
        <f>SUM(B9:B34)</f>
        <v>0</v>
      </c>
      <c r="C8" s="82">
        <f>SUM(C9:C34)</f>
        <v>0</v>
      </c>
      <c r="D8" s="82">
        <f>SUM(D9:D34)</f>
        <v>66784771.719999999</v>
      </c>
      <c r="E8" s="82">
        <f>SUM(E9:E34)</f>
        <v>64374111.180000007</v>
      </c>
      <c r="F8" s="451">
        <f t="shared" ref="F8:F24" si="0">E8/D8*100</f>
        <v>96.390403863163812</v>
      </c>
      <c r="G8" s="18"/>
      <c r="H8" s="18"/>
      <c r="I8" s="19"/>
    </row>
    <row r="9" spans="1:9" s="3" customFormat="1" x14ac:dyDescent="0.2">
      <c r="A9" s="180" t="s">
        <v>67</v>
      </c>
      <c r="B9" s="85">
        <v>0</v>
      </c>
      <c r="C9" s="21"/>
      <c r="D9" s="83">
        <v>600000</v>
      </c>
      <c r="E9" s="83">
        <v>600000</v>
      </c>
      <c r="F9" s="497">
        <f t="shared" si="0"/>
        <v>100</v>
      </c>
      <c r="G9" s="75">
        <v>60001001128</v>
      </c>
      <c r="H9" s="22"/>
    </row>
    <row r="10" spans="1:9" s="3" customFormat="1" x14ac:dyDescent="0.2">
      <c r="A10" s="181" t="s">
        <v>68</v>
      </c>
      <c r="B10" s="85">
        <v>0</v>
      </c>
      <c r="C10" s="21"/>
      <c r="D10" s="83">
        <v>2100000</v>
      </c>
      <c r="E10" s="83">
        <v>2100000</v>
      </c>
      <c r="F10" s="497">
        <f t="shared" si="0"/>
        <v>100</v>
      </c>
      <c r="G10" s="76">
        <v>60001001134</v>
      </c>
      <c r="H10" s="22"/>
    </row>
    <row r="11" spans="1:9" s="3" customFormat="1" x14ac:dyDescent="0.2">
      <c r="A11" s="182" t="s">
        <v>69</v>
      </c>
      <c r="B11" s="85">
        <v>0</v>
      </c>
      <c r="C11" s="21"/>
      <c r="D11" s="83">
        <v>2013828</v>
      </c>
      <c r="E11" s="83">
        <v>2013827.75</v>
      </c>
      <c r="F11" s="497">
        <f t="shared" si="0"/>
        <v>99.999987585831562</v>
      </c>
      <c r="G11" s="77" t="s">
        <v>55</v>
      </c>
      <c r="H11" s="22"/>
    </row>
    <row r="12" spans="1:9" s="3" customFormat="1" ht="25.5" x14ac:dyDescent="0.2">
      <c r="A12" s="180" t="s">
        <v>70</v>
      </c>
      <c r="B12" s="85">
        <v>0</v>
      </c>
      <c r="C12" s="21"/>
      <c r="D12" s="83">
        <v>1196296</v>
      </c>
      <c r="E12" s="83">
        <v>1196296</v>
      </c>
      <c r="F12" s="497">
        <f t="shared" si="0"/>
        <v>100</v>
      </c>
      <c r="G12" s="77" t="s">
        <v>56</v>
      </c>
      <c r="H12" s="22"/>
    </row>
    <row r="13" spans="1:9" s="3" customFormat="1" ht="12.75" customHeight="1" x14ac:dyDescent="0.2">
      <c r="A13" s="180" t="s">
        <v>71</v>
      </c>
      <c r="B13" s="85">
        <v>0</v>
      </c>
      <c r="C13" s="21"/>
      <c r="D13" s="83">
        <v>2867233</v>
      </c>
      <c r="E13" s="83">
        <v>2867232</v>
      </c>
      <c r="F13" s="497">
        <f t="shared" si="0"/>
        <v>99.999965123169275</v>
      </c>
      <c r="G13" s="77" t="s">
        <v>57</v>
      </c>
      <c r="H13" s="22"/>
    </row>
    <row r="14" spans="1:9" s="3" customFormat="1" x14ac:dyDescent="0.2">
      <c r="A14" s="180" t="s">
        <v>72</v>
      </c>
      <c r="B14" s="85">
        <v>0</v>
      </c>
      <c r="C14" s="21"/>
      <c r="D14" s="83">
        <v>3860942</v>
      </c>
      <c r="E14" s="83">
        <v>3860941.9</v>
      </c>
      <c r="F14" s="497">
        <f t="shared" si="0"/>
        <v>99.999997409958496</v>
      </c>
      <c r="G14" s="78" t="s">
        <v>58</v>
      </c>
      <c r="H14" s="22"/>
    </row>
    <row r="15" spans="1:9" s="3" customFormat="1" ht="25.5" x14ac:dyDescent="0.2">
      <c r="A15" s="183" t="s">
        <v>2</v>
      </c>
      <c r="B15" s="85">
        <v>0</v>
      </c>
      <c r="C15" s="21"/>
      <c r="D15" s="83">
        <v>4106000</v>
      </c>
      <c r="E15" s="83">
        <v>4106000</v>
      </c>
      <c r="F15" s="497">
        <f t="shared" si="0"/>
        <v>100</v>
      </c>
      <c r="G15" s="78" t="s">
        <v>59</v>
      </c>
      <c r="H15" s="22"/>
    </row>
    <row r="16" spans="1:9" s="3" customFormat="1" ht="25.5" x14ac:dyDescent="0.2">
      <c r="A16" s="184" t="s">
        <v>73</v>
      </c>
      <c r="B16" s="85">
        <v>0</v>
      </c>
      <c r="C16" s="21"/>
      <c r="D16" s="83">
        <v>2195165</v>
      </c>
      <c r="E16" s="83">
        <v>2195165</v>
      </c>
      <c r="F16" s="497">
        <f t="shared" si="0"/>
        <v>100</v>
      </c>
      <c r="G16" s="77" t="s">
        <v>60</v>
      </c>
      <c r="H16" s="22"/>
    </row>
    <row r="17" spans="1:9" s="3" customFormat="1" ht="25.5" x14ac:dyDescent="0.2">
      <c r="A17" s="184" t="s">
        <v>74</v>
      </c>
      <c r="B17" s="85">
        <v>0</v>
      </c>
      <c r="C17" s="21"/>
      <c r="D17" s="83">
        <v>1482935</v>
      </c>
      <c r="E17" s="83">
        <v>1482934</v>
      </c>
      <c r="F17" s="497">
        <f t="shared" si="0"/>
        <v>99.999932566161021</v>
      </c>
      <c r="G17" s="77" t="s">
        <v>61</v>
      </c>
      <c r="H17" s="22"/>
    </row>
    <row r="18" spans="1:9" s="3" customFormat="1" ht="25.5" x14ac:dyDescent="0.2">
      <c r="A18" s="180" t="s">
        <v>75</v>
      </c>
      <c r="B18" s="85">
        <v>0</v>
      </c>
      <c r="C18" s="21"/>
      <c r="D18" s="83">
        <v>8513600</v>
      </c>
      <c r="E18" s="83">
        <v>8474722</v>
      </c>
      <c r="F18" s="497">
        <f t="shared" si="0"/>
        <v>99.543342416838939</v>
      </c>
      <c r="G18" s="77" t="s">
        <v>62</v>
      </c>
      <c r="H18" s="22"/>
    </row>
    <row r="19" spans="1:9" s="3" customFormat="1" ht="25.5" x14ac:dyDescent="0.2">
      <c r="A19" s="180" t="s">
        <v>76</v>
      </c>
      <c r="B19" s="85">
        <v>0</v>
      </c>
      <c r="C19" s="21"/>
      <c r="D19" s="107">
        <v>1236412</v>
      </c>
      <c r="E19" s="83">
        <v>1236412</v>
      </c>
      <c r="F19" s="497">
        <f t="shared" si="0"/>
        <v>100</v>
      </c>
      <c r="G19" s="79">
        <v>60001100590</v>
      </c>
      <c r="H19" s="22"/>
    </row>
    <row r="20" spans="1:9" s="3" customFormat="1" ht="25.5" x14ac:dyDescent="0.2">
      <c r="A20" s="180" t="s">
        <v>77</v>
      </c>
      <c r="B20" s="85">
        <v>0</v>
      </c>
      <c r="C20" s="21"/>
      <c r="D20" s="107">
        <v>999661</v>
      </c>
      <c r="E20" s="83">
        <v>999661</v>
      </c>
      <c r="F20" s="497">
        <f t="shared" si="0"/>
        <v>100</v>
      </c>
      <c r="G20" s="79">
        <v>60001100594</v>
      </c>
      <c r="H20" s="22"/>
    </row>
    <row r="21" spans="1:9" s="3" customFormat="1" ht="25.5" x14ac:dyDescent="0.2">
      <c r="A21" s="180" t="s">
        <v>78</v>
      </c>
      <c r="B21" s="85">
        <v>0</v>
      </c>
      <c r="C21" s="21"/>
      <c r="D21" s="107">
        <v>1503556</v>
      </c>
      <c r="E21" s="83">
        <v>1503556</v>
      </c>
      <c r="F21" s="497">
        <f t="shared" si="0"/>
        <v>100</v>
      </c>
      <c r="G21" s="79">
        <v>60001100595</v>
      </c>
      <c r="H21" s="22"/>
    </row>
    <row r="22" spans="1:9" s="3" customFormat="1" x14ac:dyDescent="0.2">
      <c r="A22" s="180" t="s">
        <v>79</v>
      </c>
      <c r="B22" s="85">
        <v>0</v>
      </c>
      <c r="C22" s="21"/>
      <c r="D22" s="498">
        <v>2365613</v>
      </c>
      <c r="E22" s="83">
        <v>2365612.7999999998</v>
      </c>
      <c r="F22" s="497">
        <f t="shared" si="0"/>
        <v>99.999991545531742</v>
      </c>
      <c r="G22" s="79">
        <v>60001100596</v>
      </c>
      <c r="H22" s="22"/>
    </row>
    <row r="23" spans="1:9" s="3" customFormat="1" x14ac:dyDescent="0.2">
      <c r="A23" s="180" t="s">
        <v>80</v>
      </c>
      <c r="B23" s="85">
        <v>0</v>
      </c>
      <c r="C23" s="499"/>
      <c r="D23" s="498">
        <v>2452472</v>
      </c>
      <c r="E23" s="500">
        <v>2452472</v>
      </c>
      <c r="F23" s="497">
        <f t="shared" si="0"/>
        <v>100</v>
      </c>
      <c r="G23" s="79">
        <v>60001100598</v>
      </c>
      <c r="H23" s="22"/>
    </row>
    <row r="24" spans="1:9" s="3" customFormat="1" x14ac:dyDescent="0.2">
      <c r="A24" s="180" t="s">
        <v>81</v>
      </c>
      <c r="B24" s="85">
        <v>0</v>
      </c>
      <c r="C24" s="21"/>
      <c r="D24" s="498">
        <v>3223450</v>
      </c>
      <c r="E24" s="83">
        <v>3223449.07</v>
      </c>
      <c r="F24" s="497">
        <f t="shared" si="0"/>
        <v>99.999971148924288</v>
      </c>
      <c r="G24" s="79">
        <v>60001100599</v>
      </c>
      <c r="H24" s="22"/>
    </row>
    <row r="25" spans="1:9" s="3" customFormat="1" ht="25.5" x14ac:dyDescent="0.2">
      <c r="A25" s="180" t="s">
        <v>82</v>
      </c>
      <c r="B25" s="85">
        <v>0</v>
      </c>
      <c r="C25" s="21"/>
      <c r="D25" s="107">
        <v>1592050</v>
      </c>
      <c r="E25" s="83">
        <v>1591956.84</v>
      </c>
      <c r="F25" s="497">
        <v>0</v>
      </c>
      <c r="G25" s="79">
        <v>60001100600</v>
      </c>
      <c r="H25" s="22"/>
    </row>
    <row r="26" spans="1:9" s="3" customFormat="1" ht="25.5" x14ac:dyDescent="0.2">
      <c r="A26" s="180" t="s">
        <v>83</v>
      </c>
      <c r="B26" s="85">
        <v>0</v>
      </c>
      <c r="C26" s="21"/>
      <c r="D26" s="107">
        <v>2242170.7200000002</v>
      </c>
      <c r="E26" s="83">
        <v>2242170.7200000002</v>
      </c>
      <c r="F26" s="497">
        <f t="shared" ref="F26:F34" si="1">E26/D26*100</f>
        <v>100</v>
      </c>
      <c r="G26" s="79">
        <v>60001100601</v>
      </c>
      <c r="H26" s="22"/>
    </row>
    <row r="27" spans="1:9" s="3" customFormat="1" ht="25.5" x14ac:dyDescent="0.2">
      <c r="A27" s="180" t="s">
        <v>84</v>
      </c>
      <c r="B27" s="85">
        <v>0</v>
      </c>
      <c r="C27" s="21"/>
      <c r="D27" s="107">
        <v>1052417</v>
      </c>
      <c r="E27" s="83">
        <v>1052417</v>
      </c>
      <c r="F27" s="497">
        <f t="shared" si="1"/>
        <v>100</v>
      </c>
      <c r="G27" s="80">
        <v>60001100602</v>
      </c>
      <c r="H27" s="22"/>
    </row>
    <row r="28" spans="1:9" s="3" customFormat="1" ht="25.5" x14ac:dyDescent="0.2">
      <c r="A28" s="180" t="s">
        <v>85</v>
      </c>
      <c r="B28" s="85">
        <v>0</v>
      </c>
      <c r="C28" s="21"/>
      <c r="D28" s="83">
        <v>9066781</v>
      </c>
      <c r="E28" s="83">
        <v>9066781</v>
      </c>
      <c r="F28" s="497">
        <f t="shared" si="1"/>
        <v>100</v>
      </c>
      <c r="G28" s="77" t="s">
        <v>63</v>
      </c>
      <c r="H28" s="22"/>
    </row>
    <row r="29" spans="1:9" s="3" customFormat="1" ht="25.5" x14ac:dyDescent="0.2">
      <c r="A29" s="180" t="s">
        <v>86</v>
      </c>
      <c r="B29" s="85">
        <v>0</v>
      </c>
      <c r="C29" s="21"/>
      <c r="D29" s="83">
        <v>3100000</v>
      </c>
      <c r="E29" s="83">
        <v>728640.6</v>
      </c>
      <c r="F29" s="497">
        <f t="shared" si="1"/>
        <v>23.504535483870967</v>
      </c>
      <c r="G29" s="77" t="s">
        <v>64</v>
      </c>
      <c r="H29" s="22"/>
    </row>
    <row r="30" spans="1:9" s="5" customFormat="1" x14ac:dyDescent="0.2">
      <c r="A30" s="180" t="s">
        <v>87</v>
      </c>
      <c r="B30" s="85">
        <v>0</v>
      </c>
      <c r="C30" s="21"/>
      <c r="D30" s="83">
        <v>1158217</v>
      </c>
      <c r="E30" s="83">
        <v>1158216.7</v>
      </c>
      <c r="F30" s="497">
        <f t="shared" si="1"/>
        <v>99.999974098118045</v>
      </c>
      <c r="G30" s="77" t="s">
        <v>65</v>
      </c>
      <c r="H30" s="22"/>
      <c r="I30" s="3"/>
    </row>
    <row r="31" spans="1:9" s="3" customFormat="1" x14ac:dyDescent="0.2">
      <c r="A31" s="180" t="s">
        <v>88</v>
      </c>
      <c r="B31" s="85">
        <v>0</v>
      </c>
      <c r="C31" s="21"/>
      <c r="D31" s="501">
        <v>2321930</v>
      </c>
      <c r="E31" s="83">
        <v>2321930</v>
      </c>
      <c r="F31" s="497">
        <f t="shared" si="1"/>
        <v>100</v>
      </c>
      <c r="G31" s="77" t="s">
        <v>66</v>
      </c>
      <c r="H31" s="22"/>
    </row>
    <row r="32" spans="1:9" s="3" customFormat="1" x14ac:dyDescent="0.2">
      <c r="A32" s="180" t="s">
        <v>89</v>
      </c>
      <c r="B32" s="85">
        <v>0</v>
      </c>
      <c r="C32" s="21"/>
      <c r="D32" s="107">
        <v>1953335</v>
      </c>
      <c r="E32" s="83">
        <v>1953335</v>
      </c>
      <c r="F32" s="497">
        <f t="shared" si="1"/>
        <v>100</v>
      </c>
      <c r="G32" s="81">
        <v>60001100612</v>
      </c>
      <c r="H32" s="22"/>
    </row>
    <row r="33" spans="1:9" s="3" customFormat="1" ht="25.5" x14ac:dyDescent="0.2">
      <c r="A33" s="180" t="s">
        <v>90</v>
      </c>
      <c r="B33" s="85">
        <v>0</v>
      </c>
      <c r="C33" s="21"/>
      <c r="D33" s="107">
        <v>2234708</v>
      </c>
      <c r="E33" s="83">
        <v>2234707.2000000002</v>
      </c>
      <c r="F33" s="497">
        <f t="shared" si="1"/>
        <v>99.999964201139491</v>
      </c>
      <c r="G33" s="79">
        <v>60001100623</v>
      </c>
      <c r="H33" s="22"/>
    </row>
    <row r="34" spans="1:9" s="3" customFormat="1" ht="13.5" thickBot="1" x14ac:dyDescent="0.25">
      <c r="A34" s="185" t="s">
        <v>91</v>
      </c>
      <c r="B34" s="171">
        <v>0</v>
      </c>
      <c r="C34" s="502"/>
      <c r="D34" s="503">
        <v>1346000</v>
      </c>
      <c r="E34" s="176">
        <v>1345674.6</v>
      </c>
      <c r="F34" s="504">
        <f t="shared" si="1"/>
        <v>99.975824665676086</v>
      </c>
      <c r="G34" s="79">
        <v>60001100659</v>
      </c>
      <c r="H34" s="22"/>
    </row>
    <row r="35" spans="1:9" ht="16.5" thickTop="1" x14ac:dyDescent="0.25">
      <c r="A35" s="172"/>
      <c r="B35" s="505"/>
      <c r="C35" s="495"/>
      <c r="D35" s="505"/>
      <c r="E35" s="505"/>
      <c r="F35" s="506"/>
      <c r="G35" s="8"/>
      <c r="H35" s="2"/>
    </row>
    <row r="36" spans="1:9" s="123" customFormat="1" ht="18.75" thickBot="1" x14ac:dyDescent="0.3">
      <c r="A36" s="124" t="s">
        <v>191</v>
      </c>
      <c r="B36" s="474">
        <f>B8</f>
        <v>0</v>
      </c>
      <c r="C36" s="474">
        <f>C8</f>
        <v>0</v>
      </c>
      <c r="D36" s="474">
        <f>D8</f>
        <v>66784771.719999999</v>
      </c>
      <c r="E36" s="474">
        <f>E8</f>
        <v>64374111.180000007</v>
      </c>
      <c r="F36" s="507">
        <f>E36/D36*100</f>
        <v>96.390403863163812</v>
      </c>
    </row>
    <row r="37" spans="1:9" s="123" customFormat="1" ht="18.75" thickTop="1" x14ac:dyDescent="0.25">
      <c r="A37" s="126"/>
      <c r="B37" s="475"/>
      <c r="C37" s="475"/>
      <c r="D37" s="475"/>
      <c r="E37" s="475"/>
      <c r="F37" s="508"/>
    </row>
    <row r="38" spans="1:9" s="123" customFormat="1" ht="18" x14ac:dyDescent="0.25">
      <c r="A38" s="126"/>
      <c r="B38" s="475"/>
      <c r="C38" s="475"/>
      <c r="D38" s="475"/>
      <c r="E38" s="475"/>
      <c r="F38" s="508"/>
    </row>
    <row r="39" spans="1:9" s="38" customFormat="1" ht="18.75" customHeight="1" x14ac:dyDescent="0.25">
      <c r="A39" s="26" t="s">
        <v>225</v>
      </c>
      <c r="B39" s="42"/>
      <c r="C39" s="42"/>
      <c r="D39" s="42"/>
      <c r="E39" s="42"/>
      <c r="F39" s="466"/>
      <c r="H39" s="39"/>
    </row>
    <row r="40" spans="1:9" s="38" customFormat="1" ht="15.75" thickBot="1" x14ac:dyDescent="0.3">
      <c r="A40" s="27" t="s">
        <v>183</v>
      </c>
      <c r="B40" s="496"/>
      <c r="C40" s="496"/>
      <c r="D40" s="496"/>
      <c r="E40" s="496"/>
      <c r="F40" s="466"/>
      <c r="H40" s="39"/>
      <c r="I40" s="42" t="s">
        <v>27</v>
      </c>
    </row>
    <row r="41" spans="1:9" ht="14.25" thickTop="1" thickBot="1" x14ac:dyDescent="0.25">
      <c r="A41" s="25" t="s">
        <v>14</v>
      </c>
      <c r="B41" s="467" t="s">
        <v>0</v>
      </c>
      <c r="C41" s="468" t="s">
        <v>1</v>
      </c>
      <c r="D41" s="468" t="s">
        <v>1</v>
      </c>
      <c r="E41" s="469" t="s">
        <v>13</v>
      </c>
      <c r="F41" s="450" t="s">
        <v>15</v>
      </c>
      <c r="G41" s="1"/>
    </row>
    <row r="42" spans="1:9" ht="15.75" thickTop="1" x14ac:dyDescent="0.2">
      <c r="A42" s="179" t="s">
        <v>18</v>
      </c>
      <c r="B42" s="23">
        <f>SUM(B43:C56)</f>
        <v>0</v>
      </c>
      <c r="C42" s="23">
        <f>SUM(C43:D56)</f>
        <v>55835150.609999999</v>
      </c>
      <c r="D42" s="23">
        <f>SUM(D43:D56)</f>
        <v>55835150.609999999</v>
      </c>
      <c r="E42" s="23">
        <f>SUM(E43:E56)</f>
        <v>54031563.219999999</v>
      </c>
      <c r="F42" s="509">
        <f t="shared" ref="F42:F56" si="2">E42/D42*100</f>
        <v>96.769799364207358</v>
      </c>
      <c r="G42" s="91">
        <v>60002100257</v>
      </c>
      <c r="H42" s="2"/>
    </row>
    <row r="43" spans="1:9" x14ac:dyDescent="0.2">
      <c r="A43" s="180" t="s">
        <v>99</v>
      </c>
      <c r="B43" s="174">
        <v>0</v>
      </c>
      <c r="C43" s="174"/>
      <c r="D43" s="86">
        <v>2230995.6</v>
      </c>
      <c r="E43" s="501">
        <v>2230995.6</v>
      </c>
      <c r="F43" s="497">
        <f t="shared" si="2"/>
        <v>100</v>
      </c>
      <c r="G43" s="92">
        <v>60002100261</v>
      </c>
      <c r="H43" s="2"/>
    </row>
    <row r="44" spans="1:9" x14ac:dyDescent="0.2">
      <c r="A44" s="180" t="s">
        <v>100</v>
      </c>
      <c r="B44" s="174">
        <v>0</v>
      </c>
      <c r="C44" s="174"/>
      <c r="D44" s="86">
        <v>6194561</v>
      </c>
      <c r="E44" s="501">
        <v>6194561</v>
      </c>
      <c r="F44" s="497">
        <f t="shared" si="2"/>
        <v>100</v>
      </c>
      <c r="G44" s="93">
        <v>60002100262</v>
      </c>
      <c r="H44" s="2"/>
    </row>
    <row r="45" spans="1:9" x14ac:dyDescent="0.2">
      <c r="A45" s="186" t="s">
        <v>101</v>
      </c>
      <c r="B45" s="174">
        <v>0</v>
      </c>
      <c r="C45" s="174"/>
      <c r="D45" s="86">
        <v>2901000</v>
      </c>
      <c r="E45" s="501">
        <v>1835042</v>
      </c>
      <c r="F45" s="497">
        <f t="shared" si="2"/>
        <v>63.255498104102038</v>
      </c>
      <c r="G45" s="94">
        <v>60002100272</v>
      </c>
      <c r="H45" s="2"/>
    </row>
    <row r="46" spans="1:9" x14ac:dyDescent="0.2">
      <c r="A46" s="186" t="s">
        <v>102</v>
      </c>
      <c r="B46" s="174">
        <v>0</v>
      </c>
      <c r="C46" s="174"/>
      <c r="D46" s="86">
        <v>1093583</v>
      </c>
      <c r="E46" s="501">
        <v>1093583</v>
      </c>
      <c r="F46" s="497">
        <f t="shared" si="2"/>
        <v>100</v>
      </c>
      <c r="G46" s="95">
        <v>60002100351</v>
      </c>
      <c r="H46" s="2"/>
    </row>
    <row r="47" spans="1:9" x14ac:dyDescent="0.2">
      <c r="A47" s="182" t="s">
        <v>103</v>
      </c>
      <c r="B47" s="174">
        <v>0</v>
      </c>
      <c r="C47" s="174"/>
      <c r="D47" s="109">
        <v>9379202</v>
      </c>
      <c r="E47" s="501">
        <v>9379202</v>
      </c>
      <c r="F47" s="497">
        <f t="shared" si="2"/>
        <v>100</v>
      </c>
      <c r="G47" s="96">
        <v>60002100392</v>
      </c>
      <c r="H47" s="2"/>
    </row>
    <row r="48" spans="1:9" x14ac:dyDescent="0.2">
      <c r="A48" s="183" t="s">
        <v>8</v>
      </c>
      <c r="B48" s="174">
        <v>0</v>
      </c>
      <c r="C48" s="174"/>
      <c r="D48" s="109">
        <v>117367.2</v>
      </c>
      <c r="E48" s="501">
        <v>117367.2</v>
      </c>
      <c r="F48" s="497">
        <f t="shared" si="2"/>
        <v>100</v>
      </c>
      <c r="G48" s="97">
        <v>60002100400</v>
      </c>
      <c r="H48" s="2"/>
    </row>
    <row r="49" spans="1:9" x14ac:dyDescent="0.2">
      <c r="A49" s="186" t="s">
        <v>104</v>
      </c>
      <c r="B49" s="174">
        <v>0</v>
      </c>
      <c r="C49" s="174"/>
      <c r="D49" s="109">
        <v>14600505.390000001</v>
      </c>
      <c r="E49" s="501">
        <v>13913512</v>
      </c>
      <c r="F49" s="497">
        <f t="shared" si="2"/>
        <v>95.294728698428983</v>
      </c>
      <c r="G49" s="94">
        <v>60002100408</v>
      </c>
      <c r="H49" s="2"/>
    </row>
    <row r="50" spans="1:9" x14ac:dyDescent="0.2">
      <c r="A50" s="187" t="s">
        <v>105</v>
      </c>
      <c r="B50" s="174">
        <v>0</v>
      </c>
      <c r="C50" s="174"/>
      <c r="D50" s="86">
        <v>2047273.6</v>
      </c>
      <c r="E50" s="501">
        <v>2047273.6</v>
      </c>
      <c r="F50" s="497">
        <f t="shared" si="2"/>
        <v>100</v>
      </c>
      <c r="G50" s="92">
        <v>60002100411</v>
      </c>
      <c r="H50" s="2"/>
    </row>
    <row r="51" spans="1:9" x14ac:dyDescent="0.2">
      <c r="A51" s="180" t="s">
        <v>106</v>
      </c>
      <c r="B51" s="174">
        <v>0</v>
      </c>
      <c r="C51" s="174"/>
      <c r="D51" s="86">
        <v>2370745.58</v>
      </c>
      <c r="E51" s="501">
        <v>2370745.58</v>
      </c>
      <c r="F51" s="497">
        <f t="shared" si="2"/>
        <v>100</v>
      </c>
      <c r="G51" s="95">
        <v>60002100516</v>
      </c>
      <c r="H51" s="2"/>
    </row>
    <row r="52" spans="1:9" x14ac:dyDescent="0.2">
      <c r="A52" s="182" t="s">
        <v>107</v>
      </c>
      <c r="B52" s="174">
        <v>0</v>
      </c>
      <c r="C52" s="174"/>
      <c r="D52" s="109">
        <v>4643000</v>
      </c>
      <c r="E52" s="501">
        <v>4592364</v>
      </c>
      <c r="F52" s="497">
        <f t="shared" si="2"/>
        <v>98.909412018091743</v>
      </c>
      <c r="G52" s="95">
        <v>60002100517</v>
      </c>
      <c r="H52" s="2"/>
    </row>
    <row r="53" spans="1:9" x14ac:dyDescent="0.2">
      <c r="A53" s="182" t="s">
        <v>108</v>
      </c>
      <c r="B53" s="174">
        <v>0</v>
      </c>
      <c r="C53" s="174"/>
      <c r="D53" s="109">
        <v>1290400</v>
      </c>
      <c r="E53" s="501">
        <v>1290400</v>
      </c>
      <c r="F53" s="497">
        <f t="shared" si="2"/>
        <v>100</v>
      </c>
      <c r="G53" s="95">
        <v>60002100519</v>
      </c>
      <c r="H53" s="2"/>
    </row>
    <row r="54" spans="1:9" x14ac:dyDescent="0.2">
      <c r="A54" s="182" t="s">
        <v>109</v>
      </c>
      <c r="B54" s="174">
        <v>0</v>
      </c>
      <c r="C54" s="174"/>
      <c r="D54" s="109">
        <v>3500000</v>
      </c>
      <c r="E54" s="501">
        <v>3500000</v>
      </c>
      <c r="F54" s="497">
        <f t="shared" si="2"/>
        <v>100</v>
      </c>
      <c r="G54" s="98">
        <v>60002100528</v>
      </c>
      <c r="H54" s="2"/>
    </row>
    <row r="55" spans="1:9" x14ac:dyDescent="0.2">
      <c r="A55" s="182" t="s">
        <v>110</v>
      </c>
      <c r="B55" s="174">
        <v>0</v>
      </c>
      <c r="C55" s="174"/>
      <c r="D55" s="109">
        <v>4260817.24</v>
      </c>
      <c r="E55" s="501">
        <v>4260817.24</v>
      </c>
      <c r="F55" s="497">
        <f t="shared" si="2"/>
        <v>100</v>
      </c>
      <c r="G55" s="95">
        <v>60002100630</v>
      </c>
      <c r="H55" s="2"/>
    </row>
    <row r="56" spans="1:9" ht="14.25" customHeight="1" thickBot="1" x14ac:dyDescent="0.25">
      <c r="A56" s="188" t="s">
        <v>121</v>
      </c>
      <c r="B56" s="510">
        <v>0</v>
      </c>
      <c r="C56" s="510"/>
      <c r="D56" s="175">
        <v>1205700</v>
      </c>
      <c r="E56" s="511">
        <v>1205700</v>
      </c>
      <c r="F56" s="504">
        <f t="shared" si="2"/>
        <v>100</v>
      </c>
      <c r="G56" s="10"/>
      <c r="H56" s="2"/>
    </row>
    <row r="57" spans="1:9" ht="14.25" customHeight="1" thickTop="1" x14ac:dyDescent="0.2">
      <c r="A57" s="84"/>
      <c r="B57" s="174"/>
      <c r="C57" s="174"/>
      <c r="D57" s="174"/>
      <c r="E57" s="174"/>
      <c r="F57" s="512"/>
      <c r="G57" s="10"/>
      <c r="H57" s="2"/>
    </row>
    <row r="58" spans="1:9" ht="19.5" customHeight="1" thickBot="1" x14ac:dyDescent="0.3">
      <c r="A58" s="124" t="s">
        <v>193</v>
      </c>
      <c r="B58" s="474">
        <f>B42</f>
        <v>0</v>
      </c>
      <c r="C58" s="474">
        <f t="shared" ref="C58:E58" si="3">C42</f>
        <v>55835150.609999999</v>
      </c>
      <c r="D58" s="474">
        <f t="shared" si="3"/>
        <v>55835150.609999999</v>
      </c>
      <c r="E58" s="474">
        <f t="shared" si="3"/>
        <v>54031563.219999999</v>
      </c>
      <c r="F58" s="507">
        <f>E58/D58*100</f>
        <v>96.769799364207358</v>
      </c>
      <c r="G58" s="10"/>
      <c r="H58" s="2"/>
    </row>
    <row r="59" spans="1:9" ht="14.25" customHeight="1" thickTop="1" x14ac:dyDescent="0.2">
      <c r="A59" s="84"/>
      <c r="B59" s="174"/>
      <c r="C59" s="174"/>
      <c r="D59" s="174"/>
      <c r="E59" s="174"/>
      <c r="F59" s="512"/>
      <c r="G59" s="10"/>
      <c r="H59" s="2"/>
    </row>
    <row r="60" spans="1:9" ht="14.25" customHeight="1" x14ac:dyDescent="0.2">
      <c r="A60" s="84"/>
      <c r="B60" s="174"/>
      <c r="C60" s="174"/>
      <c r="D60" s="174"/>
      <c r="E60" s="174"/>
      <c r="F60" s="512"/>
      <c r="G60" s="10"/>
      <c r="H60" s="2"/>
    </row>
    <row r="61" spans="1:9" ht="14.25" customHeight="1" x14ac:dyDescent="0.2">
      <c r="A61" s="84"/>
      <c r="B61" s="174"/>
      <c r="C61" s="174"/>
      <c r="D61" s="174"/>
      <c r="E61" s="174"/>
      <c r="F61" s="512"/>
      <c r="G61" s="10"/>
      <c r="H61" s="2"/>
    </row>
    <row r="62" spans="1:9" ht="14.25" customHeight="1" x14ac:dyDescent="0.2">
      <c r="A62" s="84"/>
      <c r="B62" s="174"/>
      <c r="C62" s="174"/>
      <c r="D62" s="174"/>
      <c r="E62" s="174"/>
      <c r="F62" s="512"/>
      <c r="G62" s="10"/>
      <c r="H62" s="2"/>
    </row>
    <row r="63" spans="1:9" s="38" customFormat="1" ht="18.75" customHeight="1" x14ac:dyDescent="0.25">
      <c r="A63" s="26" t="s">
        <v>227</v>
      </c>
      <c r="B63" s="42"/>
      <c r="C63" s="42"/>
      <c r="D63" s="42"/>
      <c r="E63" s="42"/>
      <c r="F63" s="466"/>
      <c r="H63" s="39"/>
    </row>
    <row r="64" spans="1:9" s="38" customFormat="1" ht="15.75" thickBot="1" x14ac:dyDescent="0.3">
      <c r="A64" s="27" t="s">
        <v>183</v>
      </c>
      <c r="B64" s="496"/>
      <c r="C64" s="496"/>
      <c r="D64" s="496"/>
      <c r="E64" s="496"/>
      <c r="F64" s="466"/>
      <c r="H64" s="39"/>
      <c r="I64" s="42" t="s">
        <v>27</v>
      </c>
    </row>
    <row r="65" spans="1:9" ht="14.25" thickTop="1" thickBot="1" x14ac:dyDescent="0.25">
      <c r="A65" s="25" t="s">
        <v>14</v>
      </c>
      <c r="B65" s="467" t="s">
        <v>0</v>
      </c>
      <c r="C65" s="468" t="s">
        <v>1</v>
      </c>
      <c r="D65" s="468" t="s">
        <v>1</v>
      </c>
      <c r="E65" s="469" t="s">
        <v>13</v>
      </c>
      <c r="F65" s="450" t="s">
        <v>15</v>
      </c>
      <c r="G65" s="1"/>
    </row>
    <row r="66" spans="1:9" ht="15.75" thickTop="1" x14ac:dyDescent="0.2">
      <c r="A66" s="179" t="s">
        <v>20</v>
      </c>
      <c r="B66" s="23">
        <f>SUM(B67:B76)</f>
        <v>0</v>
      </c>
      <c r="C66" s="20">
        <f>SUM(C67:C76)</f>
        <v>0</v>
      </c>
      <c r="D66" s="20">
        <f>SUM(D67:D76)</f>
        <v>37322719</v>
      </c>
      <c r="E66" s="23">
        <f>SUM(E67:E76)</f>
        <v>35190976.049999997</v>
      </c>
      <c r="F66" s="509">
        <f t="shared" ref="F66:F76" si="4">E66/D66*100</f>
        <v>94.288350347679653</v>
      </c>
      <c r="G66" s="102">
        <v>60004001600</v>
      </c>
      <c r="H66" s="2"/>
    </row>
    <row r="67" spans="1:9" x14ac:dyDescent="0.2">
      <c r="A67" s="184" t="s">
        <v>115</v>
      </c>
      <c r="B67" s="109"/>
      <c r="C67" s="174"/>
      <c r="D67" s="107">
        <v>4500000</v>
      </c>
      <c r="E67" s="107">
        <v>4500000</v>
      </c>
      <c r="F67" s="497">
        <f t="shared" si="4"/>
        <v>100</v>
      </c>
      <c r="G67" s="103">
        <v>60004001600</v>
      </c>
      <c r="H67" s="2"/>
    </row>
    <row r="68" spans="1:9" x14ac:dyDescent="0.2">
      <c r="A68" s="184" t="s">
        <v>116</v>
      </c>
      <c r="B68" s="109"/>
      <c r="C68" s="174"/>
      <c r="D68" s="107">
        <v>7500000</v>
      </c>
      <c r="E68" s="107">
        <v>7500000</v>
      </c>
      <c r="F68" s="497">
        <f t="shared" si="4"/>
        <v>100</v>
      </c>
      <c r="G68" s="103">
        <v>60004001600</v>
      </c>
      <c r="H68" s="2"/>
    </row>
    <row r="69" spans="1:9" x14ac:dyDescent="0.2">
      <c r="A69" s="189" t="s">
        <v>117</v>
      </c>
      <c r="B69" s="109"/>
      <c r="C69" s="174"/>
      <c r="D69" s="107">
        <v>7500000</v>
      </c>
      <c r="E69" s="107">
        <v>7500000</v>
      </c>
      <c r="F69" s="497">
        <f t="shared" si="4"/>
        <v>100</v>
      </c>
      <c r="G69" s="103">
        <v>60004001600</v>
      </c>
      <c r="H69" s="2"/>
    </row>
    <row r="70" spans="1:9" x14ac:dyDescent="0.2">
      <c r="A70" s="184" t="s">
        <v>118</v>
      </c>
      <c r="B70" s="109"/>
      <c r="C70" s="174"/>
      <c r="D70" s="107">
        <v>8000000</v>
      </c>
      <c r="E70" s="107">
        <v>8000000</v>
      </c>
      <c r="F70" s="497">
        <f t="shared" si="4"/>
        <v>100</v>
      </c>
      <c r="G70" s="103">
        <v>60004100038</v>
      </c>
      <c r="H70" s="2"/>
    </row>
    <row r="71" spans="1:9" x14ac:dyDescent="0.2">
      <c r="A71" s="190" t="s">
        <v>3</v>
      </c>
      <c r="B71" s="109"/>
      <c r="C71" s="174"/>
      <c r="D71" s="83">
        <v>630000</v>
      </c>
      <c r="E71" s="83">
        <v>0</v>
      </c>
      <c r="F71" s="497">
        <f t="shared" si="4"/>
        <v>0</v>
      </c>
      <c r="G71" s="104">
        <v>60004100040</v>
      </c>
      <c r="H71" s="2"/>
    </row>
    <row r="72" spans="1:9" x14ac:dyDescent="0.2">
      <c r="A72" s="182" t="s">
        <v>4</v>
      </c>
      <c r="B72" s="109"/>
      <c r="C72" s="174"/>
      <c r="D72" s="83">
        <v>230490</v>
      </c>
      <c r="E72" s="83">
        <v>0</v>
      </c>
      <c r="F72" s="497">
        <f t="shared" si="4"/>
        <v>0</v>
      </c>
      <c r="G72" s="104">
        <v>60004100041</v>
      </c>
      <c r="H72" s="2"/>
    </row>
    <row r="73" spans="1:9" x14ac:dyDescent="0.2">
      <c r="A73" s="182" t="s">
        <v>5</v>
      </c>
      <c r="B73" s="109"/>
      <c r="C73" s="174"/>
      <c r="D73" s="83">
        <v>559104</v>
      </c>
      <c r="E73" s="83">
        <v>0</v>
      </c>
      <c r="F73" s="497">
        <f t="shared" si="4"/>
        <v>0</v>
      </c>
      <c r="G73" s="105">
        <v>60004100112</v>
      </c>
      <c r="H73" s="2"/>
    </row>
    <row r="74" spans="1:9" x14ac:dyDescent="0.2">
      <c r="A74" s="191" t="s">
        <v>6</v>
      </c>
      <c r="B74" s="109"/>
      <c r="C74" s="174"/>
      <c r="D74" s="83">
        <v>1176735</v>
      </c>
      <c r="E74" s="83">
        <v>539030</v>
      </c>
      <c r="F74" s="497">
        <f t="shared" si="4"/>
        <v>45.807254819479319</v>
      </c>
      <c r="G74" s="79">
        <v>60004100139</v>
      </c>
      <c r="H74" s="2"/>
    </row>
    <row r="75" spans="1:9" ht="13.5" thickBot="1" x14ac:dyDescent="0.25">
      <c r="A75" s="192" t="s">
        <v>119</v>
      </c>
      <c r="B75" s="109"/>
      <c r="C75" s="174"/>
      <c r="D75" s="498">
        <v>4935000</v>
      </c>
      <c r="E75" s="83">
        <v>4860556.05</v>
      </c>
      <c r="F75" s="497">
        <f t="shared" si="4"/>
        <v>98.491510638297868</v>
      </c>
      <c r="G75" s="106">
        <v>60004100648</v>
      </c>
      <c r="H75" s="2"/>
    </row>
    <row r="76" spans="1:9" ht="13.5" thickBot="1" x14ac:dyDescent="0.25">
      <c r="A76" s="193" t="s">
        <v>120</v>
      </c>
      <c r="B76" s="175"/>
      <c r="C76" s="510"/>
      <c r="D76" s="176">
        <v>2291390</v>
      </c>
      <c r="E76" s="176">
        <v>2291390</v>
      </c>
      <c r="F76" s="504">
        <f t="shared" si="4"/>
        <v>100</v>
      </c>
      <c r="G76" s="11"/>
      <c r="H76" s="71"/>
    </row>
    <row r="77" spans="1:9" ht="14.25" customHeight="1" thickTop="1" x14ac:dyDescent="0.2">
      <c r="A77" s="84"/>
      <c r="B77" s="174"/>
      <c r="C77" s="174"/>
      <c r="D77" s="174"/>
      <c r="E77" s="174"/>
      <c r="F77" s="512"/>
      <c r="G77" s="10"/>
      <c r="H77" s="2"/>
    </row>
    <row r="78" spans="1:9" s="38" customFormat="1" ht="18.75" customHeight="1" thickBot="1" x14ac:dyDescent="0.3">
      <c r="A78" s="124" t="s">
        <v>201</v>
      </c>
      <c r="B78" s="474">
        <f>B66</f>
        <v>0</v>
      </c>
      <c r="C78" s="474">
        <f t="shared" ref="C78:E78" si="5">C66</f>
        <v>0</v>
      </c>
      <c r="D78" s="474">
        <f t="shared" si="5"/>
        <v>37322719</v>
      </c>
      <c r="E78" s="474">
        <f t="shared" si="5"/>
        <v>35190976.049999997</v>
      </c>
      <c r="F78" s="507">
        <f>E78/D78*100</f>
        <v>94.288350347679653</v>
      </c>
      <c r="H78" s="39"/>
    </row>
    <row r="79" spans="1:9" s="38" customFormat="1" ht="18.75" customHeight="1" thickTop="1" x14ac:dyDescent="0.25">
      <c r="A79" s="126"/>
      <c r="B79" s="475"/>
      <c r="C79" s="475"/>
      <c r="D79" s="475"/>
      <c r="E79" s="475"/>
      <c r="F79" s="513"/>
      <c r="H79" s="39"/>
    </row>
    <row r="80" spans="1:9" s="38" customFormat="1" ht="18" x14ac:dyDescent="0.25">
      <c r="A80" s="26" t="s">
        <v>226</v>
      </c>
      <c r="B80" s="42"/>
      <c r="C80" s="42"/>
      <c r="D80" s="42"/>
      <c r="E80" s="42"/>
      <c r="F80" s="466"/>
      <c r="H80" s="39"/>
      <c r="I80" s="42" t="s">
        <v>27</v>
      </c>
    </row>
    <row r="81" spans="1:9" ht="15.75" thickBot="1" x14ac:dyDescent="0.3">
      <c r="A81" s="27" t="s">
        <v>183</v>
      </c>
      <c r="B81" s="496"/>
      <c r="C81" s="496"/>
      <c r="D81" s="496"/>
      <c r="E81" s="496"/>
      <c r="F81" s="466"/>
      <c r="G81" s="1"/>
    </row>
    <row r="82" spans="1:9" ht="15.75" customHeight="1" thickTop="1" thickBot="1" x14ac:dyDescent="0.25">
      <c r="A82" s="25" t="s">
        <v>14</v>
      </c>
      <c r="B82" s="467" t="s">
        <v>0</v>
      </c>
      <c r="C82" s="468" t="s">
        <v>1</v>
      </c>
      <c r="D82" s="468" t="s">
        <v>1</v>
      </c>
      <c r="E82" s="469" t="s">
        <v>13</v>
      </c>
      <c r="F82" s="450" t="s">
        <v>15</v>
      </c>
      <c r="G82" s="7" t="s">
        <v>7</v>
      </c>
      <c r="H82" s="2"/>
    </row>
    <row r="83" spans="1:9" ht="15.75" thickTop="1" x14ac:dyDescent="0.2">
      <c r="A83" s="179" t="s">
        <v>17</v>
      </c>
      <c r="B83" s="23">
        <f>SUM(B84:B92)</f>
        <v>0</v>
      </c>
      <c r="C83" s="20">
        <f>SUM(C84:C92)</f>
        <v>0</v>
      </c>
      <c r="D83" s="20">
        <f>SUM(D84:D91)</f>
        <v>68166549.810000002</v>
      </c>
      <c r="E83" s="23">
        <f>SUM(E84:E92)</f>
        <v>52794391.57</v>
      </c>
      <c r="F83" s="509">
        <f t="shared" ref="F83:F91" si="6">E83/D83*100</f>
        <v>77.44911795763953</v>
      </c>
      <c r="G83" s="75">
        <v>60003100198</v>
      </c>
      <c r="H83" s="2"/>
    </row>
    <row r="84" spans="1:9" x14ac:dyDescent="0.2">
      <c r="A84" s="194" t="s">
        <v>11</v>
      </c>
      <c r="B84" s="85">
        <v>0</v>
      </c>
      <c r="C84" s="514"/>
      <c r="D84" s="83">
        <v>3913645</v>
      </c>
      <c r="E84" s="83">
        <v>3820337</v>
      </c>
      <c r="F84" s="515">
        <f t="shared" si="6"/>
        <v>97.615828722329184</v>
      </c>
      <c r="G84" s="87">
        <v>60003100283</v>
      </c>
      <c r="H84" s="2"/>
    </row>
    <row r="85" spans="1:9" x14ac:dyDescent="0.2">
      <c r="A85" s="195" t="s">
        <v>92</v>
      </c>
      <c r="B85" s="85">
        <v>0</v>
      </c>
      <c r="C85" s="514"/>
      <c r="D85" s="83">
        <v>8759600</v>
      </c>
      <c r="E85" s="83">
        <v>8710938.1999999993</v>
      </c>
      <c r="F85" s="515">
        <f t="shared" si="6"/>
        <v>99.4444746335449</v>
      </c>
      <c r="G85" s="88">
        <v>60003100420</v>
      </c>
      <c r="H85" s="2"/>
    </row>
    <row r="86" spans="1:9" x14ac:dyDescent="0.2">
      <c r="A86" s="196" t="s">
        <v>93</v>
      </c>
      <c r="B86" s="85">
        <v>0</v>
      </c>
      <c r="C86" s="514"/>
      <c r="D86" s="83">
        <v>3440200</v>
      </c>
      <c r="E86" s="83">
        <v>3391132.2</v>
      </c>
      <c r="F86" s="515">
        <f t="shared" si="6"/>
        <v>98.573693389919185</v>
      </c>
      <c r="G86" s="87">
        <v>60003100422</v>
      </c>
      <c r="H86" s="2"/>
    </row>
    <row r="87" spans="1:9" x14ac:dyDescent="0.2">
      <c r="A87" s="187" t="s">
        <v>94</v>
      </c>
      <c r="B87" s="85">
        <v>0</v>
      </c>
      <c r="C87" s="514"/>
      <c r="D87" s="83">
        <v>28372100</v>
      </c>
      <c r="E87" s="83">
        <v>23598109</v>
      </c>
      <c r="F87" s="515">
        <f t="shared" si="6"/>
        <v>83.173642416317435</v>
      </c>
      <c r="G87" s="87">
        <v>60003100424</v>
      </c>
      <c r="H87" s="2"/>
    </row>
    <row r="88" spans="1:9" x14ac:dyDescent="0.2">
      <c r="A88" s="197" t="s">
        <v>95</v>
      </c>
      <c r="B88" s="85">
        <v>0</v>
      </c>
      <c r="C88" s="514"/>
      <c r="D88" s="83">
        <v>10735328.640000001</v>
      </c>
      <c r="E88" s="83">
        <v>339600</v>
      </c>
      <c r="F88" s="515">
        <f t="shared" si="6"/>
        <v>3.1633870875144439</v>
      </c>
      <c r="G88" s="87">
        <v>60003100640</v>
      </c>
      <c r="H88" s="2"/>
    </row>
    <row r="89" spans="1:9" ht="25.5" x14ac:dyDescent="0.2">
      <c r="A89" s="196" t="s">
        <v>96</v>
      </c>
      <c r="B89" s="85">
        <v>0</v>
      </c>
      <c r="C89" s="514"/>
      <c r="D89" s="83">
        <v>1456768</v>
      </c>
      <c r="E89" s="83">
        <v>1456768</v>
      </c>
      <c r="F89" s="515">
        <f t="shared" si="6"/>
        <v>100</v>
      </c>
      <c r="G89" s="88">
        <v>60003100641</v>
      </c>
      <c r="H89" s="2"/>
    </row>
    <row r="90" spans="1:9" ht="13.5" thickBot="1" x14ac:dyDescent="0.25">
      <c r="A90" s="196" t="s">
        <v>97</v>
      </c>
      <c r="B90" s="85">
        <v>0</v>
      </c>
      <c r="C90" s="514"/>
      <c r="D90" s="83">
        <v>6914828.1699999999</v>
      </c>
      <c r="E90" s="83">
        <v>6914828.1699999999</v>
      </c>
      <c r="F90" s="515">
        <f t="shared" si="6"/>
        <v>100</v>
      </c>
      <c r="G90" s="89">
        <v>60003100642</v>
      </c>
      <c r="H90" s="2"/>
    </row>
    <row r="91" spans="1:9" ht="13.5" thickBot="1" x14ac:dyDescent="0.25">
      <c r="A91" s="198" t="s">
        <v>98</v>
      </c>
      <c r="B91" s="171">
        <v>0</v>
      </c>
      <c r="C91" s="516"/>
      <c r="D91" s="176">
        <v>4574080</v>
      </c>
      <c r="E91" s="176">
        <v>4562679</v>
      </c>
      <c r="F91" s="517">
        <f t="shared" si="6"/>
        <v>99.750747691339029</v>
      </c>
      <c r="G91" s="8"/>
      <c r="H91" s="2"/>
    </row>
    <row r="92" spans="1:9" ht="13.5" thickTop="1" x14ac:dyDescent="0.2">
      <c r="A92" s="173"/>
      <c r="B92" s="518"/>
      <c r="C92" s="519"/>
      <c r="D92" s="518"/>
      <c r="E92" s="520"/>
      <c r="F92" s="521"/>
      <c r="G92" s="8"/>
      <c r="H92" s="2"/>
    </row>
    <row r="93" spans="1:9" ht="18.75" thickBot="1" x14ac:dyDescent="0.3">
      <c r="A93" s="124" t="s">
        <v>196</v>
      </c>
      <c r="B93" s="474">
        <f>SUM(B83)</f>
        <v>0</v>
      </c>
      <c r="C93" s="474">
        <f t="shared" ref="C93:E93" si="7">SUM(C83)</f>
        <v>0</v>
      </c>
      <c r="D93" s="474">
        <f t="shared" si="7"/>
        <v>68166549.810000002</v>
      </c>
      <c r="E93" s="474">
        <f t="shared" si="7"/>
        <v>52794391.57</v>
      </c>
      <c r="F93" s="507">
        <f>E93/D93*100</f>
        <v>77.44911795763953</v>
      </c>
      <c r="G93" s="2"/>
      <c r="H93" s="2"/>
      <c r="I93" s="2"/>
    </row>
    <row r="94" spans="1:9" s="38" customFormat="1" ht="18.75" customHeight="1" thickTop="1" x14ac:dyDescent="0.2">
      <c r="A94" s="551"/>
      <c r="B94" s="522"/>
      <c r="C94" s="519"/>
      <c r="D94" s="522"/>
      <c r="E94" s="523"/>
      <c r="F94" s="524"/>
      <c r="H94" s="39"/>
    </row>
    <row r="95" spans="1:9" s="38" customFormat="1" ht="18" x14ac:dyDescent="0.25">
      <c r="A95" s="26" t="s">
        <v>204</v>
      </c>
      <c r="B95" s="42"/>
      <c r="C95" s="42"/>
      <c r="D95" s="42"/>
      <c r="E95" s="42"/>
      <c r="F95" s="466"/>
      <c r="H95" s="39"/>
      <c r="I95" s="42" t="s">
        <v>27</v>
      </c>
    </row>
    <row r="96" spans="1:9" ht="15.75" thickBot="1" x14ac:dyDescent="0.3">
      <c r="A96" s="27" t="s">
        <v>183</v>
      </c>
      <c r="B96" s="496"/>
      <c r="C96" s="496"/>
      <c r="D96" s="496"/>
      <c r="E96" s="496"/>
      <c r="F96" s="466"/>
      <c r="G96" s="1"/>
    </row>
    <row r="97" spans="1:9" ht="14.25" thickTop="1" thickBot="1" x14ac:dyDescent="0.25">
      <c r="A97" s="25" t="s">
        <v>14</v>
      </c>
      <c r="B97" s="467" t="s">
        <v>0</v>
      </c>
      <c r="C97" s="468" t="s">
        <v>1</v>
      </c>
      <c r="D97" s="468" t="s">
        <v>1</v>
      </c>
      <c r="E97" s="469" t="s">
        <v>13</v>
      </c>
      <c r="F97" s="450" t="s">
        <v>15</v>
      </c>
      <c r="G97" s="99">
        <v>60005100434</v>
      </c>
      <c r="H97" s="2"/>
    </row>
    <row r="98" spans="1:9" ht="15.75" thickTop="1" x14ac:dyDescent="0.2">
      <c r="A98" s="179" t="s">
        <v>19</v>
      </c>
      <c r="B98" s="23">
        <f>SUM(B99:B104)</f>
        <v>0</v>
      </c>
      <c r="C98" s="20">
        <f>SUM(C99:C104)</f>
        <v>0</v>
      </c>
      <c r="D98" s="20">
        <f>SUM(D99:D104)</f>
        <v>14928250.030000001</v>
      </c>
      <c r="E98" s="23">
        <f>SUM(E99:E104)</f>
        <v>11669902.129999999</v>
      </c>
      <c r="F98" s="509">
        <f t="shared" ref="F98:F104" si="8">E98/D98*100</f>
        <v>78.173276214881284</v>
      </c>
      <c r="G98" s="99">
        <v>60005100435</v>
      </c>
      <c r="H98" s="2"/>
    </row>
    <row r="99" spans="1:9" ht="25.5" x14ac:dyDescent="0.2">
      <c r="A99" s="183" t="s">
        <v>9</v>
      </c>
      <c r="B99" s="174"/>
      <c r="C99" s="21"/>
      <c r="D99" s="24">
        <v>358979</v>
      </c>
      <c r="E99" s="83">
        <v>358979</v>
      </c>
      <c r="F99" s="497">
        <f t="shared" si="8"/>
        <v>100</v>
      </c>
      <c r="G99" s="100">
        <v>60005100542</v>
      </c>
      <c r="H99" s="2"/>
    </row>
    <row r="100" spans="1:9" ht="25.5" x14ac:dyDescent="0.2">
      <c r="A100" s="183" t="s">
        <v>10</v>
      </c>
      <c r="B100" s="174"/>
      <c r="C100" s="21"/>
      <c r="D100" s="108">
        <v>1228815</v>
      </c>
      <c r="E100" s="83">
        <v>1228815</v>
      </c>
      <c r="F100" s="497">
        <f t="shared" si="8"/>
        <v>100</v>
      </c>
      <c r="G100" s="101">
        <v>60005100572</v>
      </c>
      <c r="H100" s="2"/>
    </row>
    <row r="101" spans="1:9" ht="25.5" x14ac:dyDescent="0.2">
      <c r="A101" s="199" t="s">
        <v>111</v>
      </c>
      <c r="B101" s="174"/>
      <c r="C101" s="21"/>
      <c r="D101" s="24">
        <v>2201456.0299999998</v>
      </c>
      <c r="E101" s="83">
        <v>2201456.0299999998</v>
      </c>
      <c r="F101" s="497">
        <f t="shared" si="8"/>
        <v>100</v>
      </c>
      <c r="G101" s="100">
        <v>60005100652</v>
      </c>
      <c r="H101" s="2"/>
    </row>
    <row r="102" spans="1:9" x14ac:dyDescent="0.2">
      <c r="A102" s="199" t="s">
        <v>112</v>
      </c>
      <c r="B102" s="174"/>
      <c r="C102" s="21"/>
      <c r="D102" s="24">
        <v>2644809.2999999998</v>
      </c>
      <c r="E102" s="83">
        <v>2587787.4</v>
      </c>
      <c r="F102" s="497">
        <f t="shared" si="8"/>
        <v>97.844007127470405</v>
      </c>
      <c r="G102" s="101">
        <v>60005100653</v>
      </c>
      <c r="H102" s="2"/>
    </row>
    <row r="103" spans="1:9" s="2" customFormat="1" ht="22.5" customHeight="1" x14ac:dyDescent="0.2">
      <c r="A103" s="199" t="s">
        <v>113</v>
      </c>
      <c r="B103" s="174"/>
      <c r="C103" s="21"/>
      <c r="D103" s="24">
        <v>1835190.7</v>
      </c>
      <c r="E103" s="83">
        <v>1823737.2</v>
      </c>
      <c r="F103" s="497">
        <f t="shared" si="8"/>
        <v>99.37589592187885</v>
      </c>
      <c r="G103" s="8"/>
      <c r="I103" s="1"/>
    </row>
    <row r="104" spans="1:9" ht="26.25" thickBot="1" x14ac:dyDescent="0.25">
      <c r="A104" s="200" t="s">
        <v>114</v>
      </c>
      <c r="B104" s="510"/>
      <c r="C104" s="525"/>
      <c r="D104" s="177">
        <v>6659000</v>
      </c>
      <c r="E104" s="526">
        <v>3469127.5</v>
      </c>
      <c r="F104" s="504">
        <f t="shared" si="8"/>
        <v>52.096823847424531</v>
      </c>
      <c r="G104" s="7" t="s">
        <v>7</v>
      </c>
      <c r="H104" s="2"/>
    </row>
    <row r="105" spans="1:9" ht="13.5" thickTop="1" x14ac:dyDescent="0.2">
      <c r="A105" s="178"/>
      <c r="B105" s="527"/>
      <c r="C105" s="528"/>
      <c r="D105" s="527"/>
      <c r="E105" s="529"/>
      <c r="F105" s="530"/>
      <c r="G105" s="11"/>
      <c r="H105" s="2"/>
    </row>
    <row r="106" spans="1:9" ht="18.75" thickBot="1" x14ac:dyDescent="0.3">
      <c r="A106" s="124" t="s">
        <v>198</v>
      </c>
      <c r="B106" s="474">
        <f>B98</f>
        <v>0</v>
      </c>
      <c r="C106" s="474">
        <f t="shared" ref="C106:E106" si="9">C98</f>
        <v>0</v>
      </c>
      <c r="D106" s="474">
        <f t="shared" si="9"/>
        <v>14928250.030000001</v>
      </c>
      <c r="E106" s="474">
        <f t="shared" si="9"/>
        <v>11669902.129999999</v>
      </c>
      <c r="F106" s="507">
        <f>E106/D106*100</f>
        <v>78.173276214881284</v>
      </c>
      <c r="G106" s="1"/>
    </row>
    <row r="107" spans="1:9" ht="13.5" thickTop="1" x14ac:dyDescent="0.2">
      <c r="A107" s="9"/>
      <c r="B107" s="12"/>
      <c r="C107" s="13"/>
      <c r="D107" s="12"/>
      <c r="E107" s="12"/>
      <c r="F107" s="12"/>
      <c r="G107" s="1"/>
    </row>
    <row r="108" spans="1:9" ht="14.25" x14ac:dyDescent="0.2">
      <c r="A108" s="28" t="s">
        <v>21</v>
      </c>
      <c r="B108" s="531"/>
      <c r="C108" s="531"/>
      <c r="D108" s="531"/>
      <c r="E108" s="531"/>
      <c r="F108" s="480"/>
      <c r="G108" s="1"/>
    </row>
    <row r="109" spans="1:9" ht="14.25" x14ac:dyDescent="0.2">
      <c r="A109" s="31" t="s">
        <v>25</v>
      </c>
      <c r="B109" s="532">
        <f>SUM(B36)</f>
        <v>0</v>
      </c>
      <c r="C109" s="532">
        <f t="shared" ref="C109:E109" si="10">SUM(C36)</f>
        <v>0</v>
      </c>
      <c r="D109" s="532">
        <f t="shared" si="10"/>
        <v>66784771.719999999</v>
      </c>
      <c r="E109" s="532">
        <f t="shared" si="10"/>
        <v>64374111.180000007</v>
      </c>
      <c r="F109" s="460">
        <f t="shared" ref="F109:F114" si="11">E109/D109*100</f>
        <v>96.390403863163812</v>
      </c>
      <c r="G109" s="1"/>
    </row>
    <row r="110" spans="1:9" ht="14.25" x14ac:dyDescent="0.2">
      <c r="A110" s="31" t="s">
        <v>24</v>
      </c>
      <c r="B110" s="532">
        <f>SUM(B58)</f>
        <v>0</v>
      </c>
      <c r="C110" s="532">
        <f t="shared" ref="C110:E110" si="12">SUM(C58)</f>
        <v>55835150.609999999</v>
      </c>
      <c r="D110" s="532">
        <f t="shared" si="12"/>
        <v>55835150.609999999</v>
      </c>
      <c r="E110" s="532">
        <f t="shared" si="12"/>
        <v>54031563.219999999</v>
      </c>
      <c r="F110" s="460">
        <f>E110/D110*100</f>
        <v>96.769799364207358</v>
      </c>
      <c r="G110" s="1"/>
    </row>
    <row r="111" spans="1:9" ht="14.25" x14ac:dyDescent="0.2">
      <c r="A111" s="31" t="s">
        <v>22</v>
      </c>
      <c r="B111" s="532">
        <f>SUM(B78)</f>
        <v>0</v>
      </c>
      <c r="C111" s="532">
        <f t="shared" ref="C111:E111" si="13">SUM(C78)</f>
        <v>0</v>
      </c>
      <c r="D111" s="532">
        <f t="shared" si="13"/>
        <v>37322719</v>
      </c>
      <c r="E111" s="532">
        <f t="shared" si="13"/>
        <v>35190976.049999997</v>
      </c>
      <c r="F111" s="460">
        <f>E111/D111*100</f>
        <v>94.288350347679653</v>
      </c>
      <c r="G111" s="1"/>
    </row>
    <row r="112" spans="1:9" ht="14.25" x14ac:dyDescent="0.2">
      <c r="A112" s="31" t="s">
        <v>26</v>
      </c>
      <c r="B112" s="532">
        <f>SUM(B93)</f>
        <v>0</v>
      </c>
      <c r="C112" s="532">
        <f t="shared" ref="C112:E112" si="14">SUM(C93)</f>
        <v>0</v>
      </c>
      <c r="D112" s="532">
        <f t="shared" si="14"/>
        <v>68166549.810000002</v>
      </c>
      <c r="E112" s="532">
        <f t="shared" si="14"/>
        <v>52794391.57</v>
      </c>
      <c r="F112" s="460">
        <f t="shared" si="11"/>
        <v>77.44911795763953</v>
      </c>
    </row>
    <row r="113" spans="1:6" ht="14.25" x14ac:dyDescent="0.2">
      <c r="A113" s="31" t="s">
        <v>23</v>
      </c>
      <c r="B113" s="532">
        <f>SUM(B106)</f>
        <v>0</v>
      </c>
      <c r="C113" s="532">
        <f t="shared" ref="C113:E113" si="15">SUM(C106)</f>
        <v>0</v>
      </c>
      <c r="D113" s="532">
        <f t="shared" si="15"/>
        <v>14928250.030000001</v>
      </c>
      <c r="E113" s="532">
        <f t="shared" si="15"/>
        <v>11669902.129999999</v>
      </c>
      <c r="F113" s="460">
        <f>E113/D113*100</f>
        <v>78.173276214881284</v>
      </c>
    </row>
    <row r="114" spans="1:6" ht="15.75" thickBot="1" x14ac:dyDescent="0.25">
      <c r="A114" s="33" t="s">
        <v>12</v>
      </c>
      <c r="B114" s="482">
        <f>SUM(B109:B113)</f>
        <v>0</v>
      </c>
      <c r="C114" s="482">
        <f t="shared" ref="C114:E114" si="16">SUM(C109:C113)</f>
        <v>55835150.609999999</v>
      </c>
      <c r="D114" s="482">
        <f t="shared" si="16"/>
        <v>243037441.16999999</v>
      </c>
      <c r="E114" s="482">
        <f t="shared" si="16"/>
        <v>218060944.14999998</v>
      </c>
      <c r="F114" s="461">
        <f t="shared" si="11"/>
        <v>89.723189604136167</v>
      </c>
    </row>
    <row r="115" spans="1:6" ht="13.5" thickTop="1" x14ac:dyDescent="0.2"/>
    <row r="120" spans="1:6" x14ac:dyDescent="0.2">
      <c r="A120" s="115" t="s">
        <v>164</v>
      </c>
      <c r="B120" s="536">
        <v>41142000</v>
      </c>
    </row>
    <row r="121" spans="1:6" x14ac:dyDescent="0.2">
      <c r="A121" s="115" t="s">
        <v>165</v>
      </c>
      <c r="B121" s="536">
        <v>238381000</v>
      </c>
    </row>
    <row r="122" spans="1:6" x14ac:dyDescent="0.2">
      <c r="A122" s="117"/>
      <c r="B122" s="536">
        <f>SUM(B120:B121)</f>
        <v>279523000</v>
      </c>
    </row>
    <row r="123" spans="1:6" x14ac:dyDescent="0.2">
      <c r="A123" s="117"/>
      <c r="B123" s="115"/>
    </row>
    <row r="124" spans="1:6" x14ac:dyDescent="0.2">
      <c r="A124" s="117"/>
      <c r="B124" s="115"/>
    </row>
    <row r="125" spans="1:6" x14ac:dyDescent="0.2">
      <c r="A125" s="118" t="s">
        <v>166</v>
      </c>
      <c r="B125" s="537">
        <f>SUM(B126:B132)</f>
        <v>29251861.21999998</v>
      </c>
      <c r="D125" s="119" t="s">
        <v>174</v>
      </c>
      <c r="E125" s="537">
        <v>24976497.02</v>
      </c>
      <c r="F125" s="538" t="s">
        <v>175</v>
      </c>
    </row>
    <row r="126" spans="1:6" x14ac:dyDescent="0.2">
      <c r="A126" s="115" t="s">
        <v>167</v>
      </c>
      <c r="B126" s="536">
        <v>14768505.390000001</v>
      </c>
      <c r="D126" s="119" t="s">
        <v>176</v>
      </c>
      <c r="E126" s="539">
        <f>B125-E125</f>
        <v>4275364.1999999806</v>
      </c>
      <c r="F126" s="538" t="s">
        <v>177</v>
      </c>
    </row>
    <row r="127" spans="1:6" x14ac:dyDescent="0.2">
      <c r="A127" s="115" t="s">
        <v>168</v>
      </c>
      <c r="B127" s="536">
        <v>269410935.77999997</v>
      </c>
    </row>
    <row r="128" spans="1:6" x14ac:dyDescent="0.2">
      <c r="A128" s="115" t="s">
        <v>173</v>
      </c>
      <c r="B128" s="540">
        <v>-218060944.14999998</v>
      </c>
    </row>
    <row r="129" spans="1:2" x14ac:dyDescent="0.2">
      <c r="A129" s="115" t="s">
        <v>169</v>
      </c>
      <c r="B129" s="536">
        <v>-41142000</v>
      </c>
    </row>
    <row r="130" spans="1:2" x14ac:dyDescent="0.2">
      <c r="A130" s="115" t="s">
        <v>170</v>
      </c>
      <c r="B130" s="536">
        <v>3761944.2</v>
      </c>
    </row>
    <row r="131" spans="1:2" x14ac:dyDescent="0.2">
      <c r="A131" s="115" t="s">
        <v>171</v>
      </c>
      <c r="B131" s="536">
        <v>513020</v>
      </c>
    </row>
    <row r="132" spans="1:2" x14ac:dyDescent="0.2">
      <c r="A132" s="115" t="s">
        <v>172</v>
      </c>
      <c r="B132" s="536">
        <v>400</v>
      </c>
    </row>
  </sheetData>
  <phoneticPr fontId="5" type="noConversion"/>
  <pageMargins left="0.51181102362204722" right="0.55118110236220474" top="0.74803149606299213" bottom="0.98425196850393704" header="0.51181102362204722" footer="0.51181102362204722"/>
  <pageSetup paperSize="9" scale="69" firstPageNumber="2" fitToHeight="2" orientation="portrait" r:id="rId1"/>
  <headerFooter alignWithMargins="0">
    <oddFooter>&amp;L&amp;"Arial,Kurzíva"Zastupitelstvo Olomouckého kraje 29.6.2012
5. - Rozpočet Olomouckého kraje 2011 - závěrečný účet 
Příloha č. 8: Přehled financování investičních akcí v roce 2011&amp;R&amp;"Arial,Kurzíva"Strana &amp;P  (celkem 470)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4"/>
  <sheetViews>
    <sheetView showGridLines="0" zoomScaleNormal="100" workbookViewId="0">
      <selection activeCell="H34" sqref="H34"/>
    </sheetView>
  </sheetViews>
  <sheetFormatPr defaultRowHeight="12.75" x14ac:dyDescent="0.2"/>
  <cols>
    <col min="1" max="1" width="4.7109375" style="40" customWidth="1"/>
    <col min="2" max="2" width="6.7109375" style="40" customWidth="1"/>
    <col min="3" max="3" width="5.140625" style="40" customWidth="1"/>
    <col min="4" max="4" width="13.7109375" style="40" customWidth="1"/>
    <col min="5" max="5" width="31.7109375" style="40" customWidth="1"/>
    <col min="6" max="6" width="9.140625" style="37"/>
    <col min="7" max="7" width="17.42578125" style="38" customWidth="1"/>
    <col min="8" max="8" width="17.28515625" style="39" customWidth="1"/>
    <col min="9" max="9" width="6.28515625" style="38" customWidth="1"/>
    <col min="10" max="10" width="14.85546875" style="38" customWidth="1"/>
    <col min="11" max="11" width="13.85546875" style="38" bestFit="1" customWidth="1"/>
    <col min="12" max="12" width="9.140625" style="38"/>
    <col min="13" max="13" width="17.28515625" style="38" customWidth="1"/>
    <col min="14" max="16384" width="9.140625" style="38"/>
  </cols>
  <sheetData>
    <row r="1" spans="1:13" ht="18" x14ac:dyDescent="0.25">
      <c r="A1" s="26" t="s">
        <v>691</v>
      </c>
      <c r="B1" s="26"/>
      <c r="C1" s="26"/>
      <c r="D1" s="26"/>
      <c r="E1" s="26"/>
    </row>
    <row r="2" spans="1:13" ht="18" x14ac:dyDescent="0.25">
      <c r="A2" s="27" t="s">
        <v>228</v>
      </c>
      <c r="B2" s="26"/>
      <c r="C2" s="26"/>
      <c r="D2" s="26"/>
      <c r="E2" s="26"/>
    </row>
    <row r="3" spans="1:13" ht="18" x14ac:dyDescent="0.25">
      <c r="A3" s="110" t="s">
        <v>122</v>
      </c>
      <c r="B3" s="26"/>
      <c r="C3" s="26"/>
      <c r="D3" s="26"/>
      <c r="E3" s="26"/>
    </row>
    <row r="4" spans="1:13" x14ac:dyDescent="0.2">
      <c r="A4" s="65"/>
      <c r="B4" s="66"/>
      <c r="C4" s="66"/>
      <c r="D4" s="66"/>
      <c r="E4" s="66"/>
      <c r="F4" s="66"/>
      <c r="G4" s="67"/>
      <c r="H4" s="68"/>
      <c r="I4" s="65"/>
    </row>
    <row r="5" spans="1:13" ht="15.75" thickBot="1" x14ac:dyDescent="0.3">
      <c r="A5" s="27" t="s">
        <v>54</v>
      </c>
      <c r="B5" s="27"/>
      <c r="C5" s="27"/>
      <c r="D5" s="27"/>
      <c r="E5" s="27"/>
      <c r="I5" s="42" t="s">
        <v>27</v>
      </c>
    </row>
    <row r="6" spans="1:13" s="43" customFormat="1" ht="25.5" thickTop="1" thickBot="1" x14ac:dyDescent="0.3">
      <c r="A6" s="553" t="s">
        <v>14</v>
      </c>
      <c r="B6" s="554"/>
      <c r="C6" s="554"/>
      <c r="D6" s="554"/>
      <c r="E6" s="555"/>
      <c r="F6" s="14" t="s">
        <v>0</v>
      </c>
      <c r="G6" s="15" t="s">
        <v>1</v>
      </c>
      <c r="H6" s="16" t="s">
        <v>13</v>
      </c>
      <c r="I6" s="17" t="s">
        <v>15</v>
      </c>
    </row>
    <row r="7" spans="1:13" ht="15.75" thickTop="1" x14ac:dyDescent="0.25">
      <c r="A7" s="556" t="s">
        <v>20</v>
      </c>
      <c r="B7" s="557"/>
      <c r="C7" s="557"/>
      <c r="D7" s="557"/>
      <c r="E7" s="558"/>
      <c r="F7" s="44">
        <f>SUM(F8:F8)</f>
        <v>0</v>
      </c>
      <c r="G7" s="44">
        <f>SUM(G8:G8)</f>
        <v>22823000</v>
      </c>
      <c r="H7" s="44">
        <f>SUM(H8:H8)</f>
        <v>22809821.059999999</v>
      </c>
      <c r="I7" s="45">
        <f>H7/G7*100</f>
        <v>99.94225588222406</v>
      </c>
      <c r="K7" s="46"/>
      <c r="M7" s="39"/>
    </row>
    <row r="8" spans="1:13" x14ac:dyDescent="0.2">
      <c r="A8" s="562" t="s">
        <v>31</v>
      </c>
      <c r="B8" s="563"/>
      <c r="C8" s="563"/>
      <c r="D8" s="563"/>
      <c r="E8" s="564"/>
      <c r="F8" s="90">
        <v>0</v>
      </c>
      <c r="G8" s="90">
        <v>22823000</v>
      </c>
      <c r="H8" s="90">
        <v>22809821.059999999</v>
      </c>
      <c r="I8" s="50">
        <f>H8/G8*100</f>
        <v>99.94225588222406</v>
      </c>
      <c r="J8" s="51">
        <v>100114</v>
      </c>
      <c r="M8" s="39"/>
    </row>
    <row r="9" spans="1:13" ht="15.75" thickBot="1" x14ac:dyDescent="0.3">
      <c r="A9" s="55" t="s">
        <v>12</v>
      </c>
      <c r="B9" s="56"/>
      <c r="C9" s="56"/>
      <c r="D9" s="56"/>
      <c r="E9" s="56"/>
      <c r="F9" s="57">
        <f>SUM(F7)</f>
        <v>0</v>
      </c>
      <c r="G9" s="57">
        <f>SUM(G7)</f>
        <v>22823000</v>
      </c>
      <c r="H9" s="57">
        <f>SUM(H7)</f>
        <v>22809821.059999999</v>
      </c>
      <c r="I9" s="58">
        <f>H9/G9*100</f>
        <v>99.94225588222406</v>
      </c>
      <c r="J9" s="42"/>
      <c r="K9" s="42"/>
    </row>
    <row r="10" spans="1:13" ht="13.5" thickTop="1" x14ac:dyDescent="0.2"/>
    <row r="13" spans="1:13" ht="14.25" x14ac:dyDescent="0.2">
      <c r="A13" s="28" t="s">
        <v>21</v>
      </c>
      <c r="B13" s="28"/>
      <c r="C13" s="28"/>
      <c r="D13" s="28"/>
      <c r="E13" s="28"/>
      <c r="F13" s="29"/>
      <c r="G13" s="29"/>
      <c r="H13" s="29"/>
      <c r="I13" s="30"/>
    </row>
    <row r="14" spans="1:13" ht="14.25" x14ac:dyDescent="0.2">
      <c r="A14" s="31" t="s">
        <v>22</v>
      </c>
      <c r="B14" s="31"/>
      <c r="C14" s="31"/>
      <c r="D14" s="31"/>
      <c r="E14" s="31"/>
      <c r="F14" s="64">
        <f>F7</f>
        <v>0</v>
      </c>
      <c r="G14" s="64">
        <f>G7</f>
        <v>22823000</v>
      </c>
      <c r="H14" s="64">
        <f>H7</f>
        <v>22809821.059999999</v>
      </c>
      <c r="I14" s="32">
        <f>H14/G14*100</f>
        <v>99.94225588222406</v>
      </c>
    </row>
    <row r="15" spans="1:13" ht="15" customHeight="1" thickBot="1" x14ac:dyDescent="0.25">
      <c r="A15" s="33" t="s">
        <v>12</v>
      </c>
      <c r="B15" s="33"/>
      <c r="C15" s="33"/>
      <c r="D15" s="33"/>
      <c r="E15" s="33"/>
      <c r="F15" s="34">
        <f>SUM(F14:F14)</f>
        <v>0</v>
      </c>
      <c r="G15" s="34">
        <f>SUM(G14:G14)</f>
        <v>22823000</v>
      </c>
      <c r="H15" s="34">
        <f>SUM(H14:H14)</f>
        <v>22809821.059999999</v>
      </c>
      <c r="I15" s="35">
        <f>H15/G15*100</f>
        <v>99.94225588222406</v>
      </c>
    </row>
    <row r="16" spans="1:13" ht="14.25" customHeight="1" thickTop="1" x14ac:dyDescent="0.2"/>
    <row r="18" spans="1:13" x14ac:dyDescent="0.2">
      <c r="A18" s="69"/>
      <c r="H18" s="70"/>
      <c r="K18" s="39"/>
      <c r="M18" s="39"/>
    </row>
    <row r="24" spans="1:13" x14ac:dyDescent="0.2">
      <c r="C24" s="38"/>
    </row>
  </sheetData>
  <mergeCells count="3">
    <mergeCell ref="A7:E7"/>
    <mergeCell ref="A6:E6"/>
    <mergeCell ref="A8:E8"/>
  </mergeCells>
  <phoneticPr fontId="5" type="noConversion"/>
  <pageMargins left="0.94488188976377963" right="0.94488188976377963" top="0.98425196850393704" bottom="0.98425196850393704" header="0.51181102362204722" footer="0.51181102362204722"/>
  <pageSetup paperSize="9" scale="73" firstPageNumber="210" orientation="portrait" r:id="rId1"/>
  <headerFooter alignWithMargins="0">
    <oddFooter>&amp;L&amp;"Arial,Kurzíva"Zastupitelstvo Olomouckého kraje 29.6.2012
5. - Rozpočet Olomouckého kraje 2011 - závěrečný účet 
Příloha č. 8: Přehled financování investičních akcí v roce 2011&amp;R&amp;"Arial,Kurzíva"Strana &amp;P (Celkem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496"/>
  <sheetViews>
    <sheetView showGridLines="0" view="pageBreakPreview" topLeftCell="A463" zoomScaleNormal="100" zoomScaleSheetLayoutView="100" workbookViewId="0">
      <selection activeCell="A477" sqref="A477"/>
    </sheetView>
  </sheetViews>
  <sheetFormatPr defaultRowHeight="12.75" x14ac:dyDescent="0.2"/>
  <cols>
    <col min="1" max="1" width="77.7109375" style="117" customWidth="1"/>
    <col min="2" max="2" width="17.140625" style="117" customWidth="1"/>
    <col min="3" max="3" width="16.85546875" style="117" customWidth="1"/>
    <col min="4" max="4" width="16.140625" style="117" bestFit="1" customWidth="1"/>
    <col min="5" max="5" width="7.5703125" style="209" customWidth="1"/>
    <col min="6" max="6" width="12.42578125" style="374" bestFit="1" customWidth="1"/>
    <col min="7" max="7" width="19.140625" style="210" customWidth="1"/>
    <col min="8" max="8" width="12.7109375" style="210" bestFit="1" customWidth="1"/>
    <col min="9" max="9" width="14.42578125" style="117" customWidth="1"/>
    <col min="10" max="16384" width="9.140625" style="117"/>
  </cols>
  <sheetData>
    <row r="1" spans="1:8" s="204" customFormat="1" ht="18" x14ac:dyDescent="0.25">
      <c r="A1" s="201" t="s">
        <v>692</v>
      </c>
      <c r="B1" s="201"/>
      <c r="C1" s="201"/>
      <c r="D1" s="201"/>
      <c r="E1" s="201"/>
      <c r="F1" s="373"/>
      <c r="G1" s="202"/>
      <c r="H1" s="203"/>
    </row>
    <row r="2" spans="1:8" s="207" customFormat="1" ht="15.75" x14ac:dyDescent="0.25">
      <c r="A2" s="205" t="s">
        <v>229</v>
      </c>
      <c r="B2" s="206"/>
      <c r="C2" s="206"/>
      <c r="D2" s="206"/>
      <c r="E2" s="206"/>
      <c r="F2" s="373"/>
      <c r="G2" s="202"/>
      <c r="H2" s="203"/>
    </row>
    <row r="4" spans="1:8" ht="15" customHeight="1" x14ac:dyDescent="0.25">
      <c r="A4" s="208" t="s">
        <v>182</v>
      </c>
    </row>
    <row r="5" spans="1:8" ht="15.75" thickBot="1" x14ac:dyDescent="0.3">
      <c r="A5" s="211" t="s">
        <v>183</v>
      </c>
      <c r="D5" s="115"/>
      <c r="E5" s="212" t="s">
        <v>27</v>
      </c>
    </row>
    <row r="6" spans="1:8" ht="14.25" thickTop="1" thickBot="1" x14ac:dyDescent="0.25">
      <c r="A6" s="213" t="s">
        <v>14</v>
      </c>
      <c r="B6" s="214" t="s">
        <v>0</v>
      </c>
      <c r="C6" s="215" t="s">
        <v>1</v>
      </c>
      <c r="D6" s="216" t="s">
        <v>13</v>
      </c>
      <c r="E6" s="217" t="s">
        <v>15</v>
      </c>
    </row>
    <row r="7" spans="1:8" ht="15.75" thickTop="1" x14ac:dyDescent="0.25">
      <c r="A7" s="218" t="s">
        <v>16</v>
      </c>
      <c r="B7" s="219">
        <f>SUM(B8:B89)</f>
        <v>118391000</v>
      </c>
      <c r="C7" s="219">
        <f>SUM(C8:C89)</f>
        <v>48800857.880000003</v>
      </c>
      <c r="D7" s="219">
        <f>SUM(D8:D89)</f>
        <v>40098375.089999996</v>
      </c>
      <c r="E7" s="220">
        <f>D7/C7*100</f>
        <v>82.167356952209374</v>
      </c>
    </row>
    <row r="8" spans="1:8" s="226" customFormat="1" x14ac:dyDescent="0.2">
      <c r="A8" s="221" t="s">
        <v>366</v>
      </c>
      <c r="B8" s="222">
        <v>0</v>
      </c>
      <c r="C8" s="223">
        <v>2000</v>
      </c>
      <c r="D8" s="222">
        <v>300</v>
      </c>
      <c r="E8" s="224">
        <f>D8/C8*100</f>
        <v>15</v>
      </c>
      <c r="F8" s="353">
        <v>100192</v>
      </c>
      <c r="G8" s="225"/>
      <c r="H8" s="225"/>
    </row>
    <row r="9" spans="1:8" s="362" customFormat="1" x14ac:dyDescent="0.2">
      <c r="A9" s="227" t="s">
        <v>230</v>
      </c>
      <c r="B9" s="286">
        <v>3000000</v>
      </c>
      <c r="C9" s="223">
        <v>0</v>
      </c>
      <c r="D9" s="360">
        <v>0</v>
      </c>
      <c r="E9" s="224">
        <v>0</v>
      </c>
      <c r="F9" s="353">
        <v>100214</v>
      </c>
      <c r="G9" s="361"/>
      <c r="H9" s="361"/>
    </row>
    <row r="10" spans="1:8" s="362" customFormat="1" x14ac:dyDescent="0.2">
      <c r="A10" s="230" t="s">
        <v>231</v>
      </c>
      <c r="B10" s="360">
        <v>1200000</v>
      </c>
      <c r="C10" s="236">
        <v>0</v>
      </c>
      <c r="D10" s="236">
        <v>0</v>
      </c>
      <c r="E10" s="224">
        <v>0</v>
      </c>
      <c r="F10" s="353">
        <v>100237</v>
      </c>
      <c r="G10" s="361"/>
      <c r="H10" s="361"/>
    </row>
    <row r="11" spans="1:8" s="362" customFormat="1" x14ac:dyDescent="0.2">
      <c r="A11" s="227" t="s">
        <v>232</v>
      </c>
      <c r="B11" s="360">
        <v>92000</v>
      </c>
      <c r="C11" s="223">
        <v>2224320</v>
      </c>
      <c r="D11" s="236">
        <v>2120596.5699999998</v>
      </c>
      <c r="E11" s="224">
        <f>D11/C11*100</f>
        <v>95.336847665803475</v>
      </c>
      <c r="F11" s="353">
        <v>100354</v>
      </c>
      <c r="G11" s="361"/>
      <c r="H11" s="361"/>
    </row>
    <row r="12" spans="1:8" s="362" customFormat="1" x14ac:dyDescent="0.2">
      <c r="A12" s="230" t="s">
        <v>233</v>
      </c>
      <c r="B12" s="360">
        <v>3277000</v>
      </c>
      <c r="C12" s="223">
        <v>0</v>
      </c>
      <c r="D12" s="236">
        <v>0</v>
      </c>
      <c r="E12" s="224">
        <v>0</v>
      </c>
      <c r="F12" s="353">
        <v>100355</v>
      </c>
      <c r="G12" s="361"/>
      <c r="H12" s="361"/>
    </row>
    <row r="13" spans="1:8" s="362" customFormat="1" x14ac:dyDescent="0.2">
      <c r="A13" s="230" t="s">
        <v>234</v>
      </c>
      <c r="B13" s="360">
        <v>3840000</v>
      </c>
      <c r="C13" s="223">
        <v>0</v>
      </c>
      <c r="D13" s="236">
        <v>0</v>
      </c>
      <c r="E13" s="224">
        <v>0</v>
      </c>
      <c r="F13" s="353">
        <v>100357</v>
      </c>
      <c r="G13" s="361"/>
      <c r="H13" s="361"/>
    </row>
    <row r="14" spans="1:8" s="362" customFormat="1" ht="25.5" x14ac:dyDescent="0.2">
      <c r="A14" s="230" t="s">
        <v>235</v>
      </c>
      <c r="B14" s="360">
        <v>4300000</v>
      </c>
      <c r="C14" s="223">
        <v>175406</v>
      </c>
      <c r="D14" s="236">
        <v>158127</v>
      </c>
      <c r="E14" s="224">
        <v>0</v>
      </c>
      <c r="F14" s="353">
        <v>100361</v>
      </c>
      <c r="G14" s="361"/>
      <c r="H14" s="361"/>
    </row>
    <row r="15" spans="1:8" s="362" customFormat="1" x14ac:dyDescent="0.2">
      <c r="A15" s="230" t="s">
        <v>236</v>
      </c>
      <c r="B15" s="360">
        <v>480000</v>
      </c>
      <c r="C15" s="234">
        <v>0</v>
      </c>
      <c r="D15" s="235">
        <v>0</v>
      </c>
      <c r="E15" s="224">
        <v>0</v>
      </c>
      <c r="F15" s="353">
        <v>100366</v>
      </c>
      <c r="G15" s="361"/>
      <c r="H15" s="361"/>
    </row>
    <row r="16" spans="1:8" s="362" customFormat="1" ht="25.5" x14ac:dyDescent="0.2">
      <c r="A16" s="230" t="s">
        <v>237</v>
      </c>
      <c r="B16" s="360">
        <v>2000000</v>
      </c>
      <c r="C16" s="223">
        <v>23000</v>
      </c>
      <c r="D16" s="236">
        <v>22848</v>
      </c>
      <c r="E16" s="224">
        <f>D16/C16*100</f>
        <v>99.339130434782604</v>
      </c>
      <c r="F16" s="353">
        <v>100370</v>
      </c>
      <c r="G16" s="361"/>
      <c r="H16" s="361"/>
    </row>
    <row r="17" spans="1:8" s="362" customFormat="1" x14ac:dyDescent="0.2">
      <c r="A17" s="230" t="s">
        <v>238</v>
      </c>
      <c r="B17" s="360">
        <v>1200000</v>
      </c>
      <c r="C17" s="223">
        <v>1720746</v>
      </c>
      <c r="D17" s="236">
        <v>1720746</v>
      </c>
      <c r="E17" s="224">
        <f>D17/C17*100</f>
        <v>100</v>
      </c>
      <c r="F17" s="353">
        <v>100382</v>
      </c>
      <c r="G17" s="361"/>
      <c r="H17" s="361"/>
    </row>
    <row r="18" spans="1:8" s="362" customFormat="1" x14ac:dyDescent="0.2">
      <c r="A18" s="230" t="s">
        <v>239</v>
      </c>
      <c r="B18" s="360">
        <v>0</v>
      </c>
      <c r="C18" s="223">
        <v>272</v>
      </c>
      <c r="D18" s="236">
        <v>272</v>
      </c>
      <c r="E18" s="224">
        <v>0</v>
      </c>
      <c r="F18" s="353">
        <v>100384</v>
      </c>
      <c r="G18" s="361"/>
      <c r="H18" s="361"/>
    </row>
    <row r="19" spans="1:8" s="362" customFormat="1" x14ac:dyDescent="0.2">
      <c r="A19" s="230" t="s">
        <v>240</v>
      </c>
      <c r="B19" s="360">
        <v>1000000</v>
      </c>
      <c r="C19" s="223">
        <v>1139882</v>
      </c>
      <c r="D19" s="236">
        <v>1139882</v>
      </c>
      <c r="E19" s="224">
        <v>0</v>
      </c>
      <c r="F19" s="353">
        <v>100389</v>
      </c>
      <c r="G19" s="361"/>
      <c r="H19" s="361"/>
    </row>
    <row r="20" spans="1:8" s="362" customFormat="1" ht="25.5" x14ac:dyDescent="0.2">
      <c r="A20" s="230" t="s">
        <v>241</v>
      </c>
      <c r="B20" s="360">
        <v>1545000</v>
      </c>
      <c r="C20" s="236">
        <v>0</v>
      </c>
      <c r="D20" s="236">
        <v>0</v>
      </c>
      <c r="E20" s="224">
        <v>0</v>
      </c>
      <c r="F20" s="353">
        <v>100391</v>
      </c>
      <c r="G20" s="361"/>
      <c r="H20" s="361"/>
    </row>
    <row r="21" spans="1:8" s="362" customFormat="1" x14ac:dyDescent="0.2">
      <c r="A21" s="227" t="s">
        <v>139</v>
      </c>
      <c r="B21" s="360">
        <v>4167000</v>
      </c>
      <c r="C21" s="236">
        <v>2021000</v>
      </c>
      <c r="D21" s="236">
        <v>1970600</v>
      </c>
      <c r="E21" s="224">
        <f>D21/C21*100</f>
        <v>97.506185056902524</v>
      </c>
      <c r="F21" s="353">
        <v>100537</v>
      </c>
      <c r="G21" s="361"/>
      <c r="H21" s="361"/>
    </row>
    <row r="22" spans="1:8" s="362" customFormat="1" ht="25.5" x14ac:dyDescent="0.2">
      <c r="A22" s="227" t="s">
        <v>242</v>
      </c>
      <c r="B22" s="360">
        <v>7537000</v>
      </c>
      <c r="C22" s="236">
        <v>1238380</v>
      </c>
      <c r="D22" s="236">
        <v>1238380</v>
      </c>
      <c r="E22" s="224">
        <f>D22/C22*100</f>
        <v>100</v>
      </c>
      <c r="F22" s="353">
        <v>100538</v>
      </c>
      <c r="G22" s="361"/>
      <c r="H22" s="361"/>
    </row>
    <row r="23" spans="1:8" s="362" customFormat="1" ht="25.5" x14ac:dyDescent="0.2">
      <c r="A23" s="230" t="s">
        <v>370</v>
      </c>
      <c r="B23" s="360">
        <v>844000</v>
      </c>
      <c r="C23" s="236">
        <v>471060</v>
      </c>
      <c r="D23" s="236">
        <v>471060</v>
      </c>
      <c r="E23" s="224">
        <f>D23/C23*100</f>
        <v>100</v>
      </c>
      <c r="F23" s="353">
        <v>100539</v>
      </c>
      <c r="G23" s="361"/>
      <c r="H23" s="361"/>
    </row>
    <row r="24" spans="1:8" s="362" customFormat="1" x14ac:dyDescent="0.2">
      <c r="A24" s="230" t="s">
        <v>369</v>
      </c>
      <c r="B24" s="360">
        <v>24874000</v>
      </c>
      <c r="C24" s="236">
        <v>24838688</v>
      </c>
      <c r="D24" s="236">
        <v>18302638.109999999</v>
      </c>
      <c r="E24" s="224">
        <f>D24/C24*100</f>
        <v>73.686009945452838</v>
      </c>
      <c r="F24" s="353">
        <v>100565</v>
      </c>
      <c r="G24" s="361"/>
      <c r="H24" s="361"/>
    </row>
    <row r="25" spans="1:8" s="362" customFormat="1" x14ac:dyDescent="0.2">
      <c r="A25" s="230" t="s">
        <v>367</v>
      </c>
      <c r="B25" s="360">
        <v>4000000</v>
      </c>
      <c r="C25" s="236">
        <v>0</v>
      </c>
      <c r="D25" s="236">
        <v>0</v>
      </c>
      <c r="E25" s="224">
        <v>0</v>
      </c>
      <c r="F25" s="353">
        <v>100582</v>
      </c>
      <c r="G25" s="361"/>
      <c r="H25" s="361"/>
    </row>
    <row r="26" spans="1:8" s="362" customFormat="1" ht="25.5" x14ac:dyDescent="0.2">
      <c r="A26" s="227" t="s">
        <v>368</v>
      </c>
      <c r="B26" s="360">
        <v>360000</v>
      </c>
      <c r="C26" s="223">
        <v>366000</v>
      </c>
      <c r="D26" s="236">
        <v>366000</v>
      </c>
      <c r="E26" s="224">
        <f t="shared" ref="E26:E31" si="0">D26/C26*100</f>
        <v>100</v>
      </c>
      <c r="F26" s="353">
        <v>100583</v>
      </c>
      <c r="G26" s="361"/>
      <c r="H26" s="361"/>
    </row>
    <row r="27" spans="1:8" s="362" customFormat="1" x14ac:dyDescent="0.2">
      <c r="A27" s="230" t="s">
        <v>377</v>
      </c>
      <c r="B27" s="360">
        <v>200000</v>
      </c>
      <c r="C27" s="223">
        <v>240000</v>
      </c>
      <c r="D27" s="236">
        <v>240000</v>
      </c>
      <c r="E27" s="224">
        <f t="shared" si="0"/>
        <v>100</v>
      </c>
      <c r="F27" s="353">
        <v>100585</v>
      </c>
      <c r="G27" s="361"/>
      <c r="H27" s="361"/>
    </row>
    <row r="28" spans="1:8" s="362" customFormat="1" ht="25.5" x14ac:dyDescent="0.2">
      <c r="A28" s="230" t="s">
        <v>378</v>
      </c>
      <c r="B28" s="360">
        <v>55000</v>
      </c>
      <c r="C28" s="223">
        <v>46000</v>
      </c>
      <c r="D28" s="236">
        <v>46000</v>
      </c>
      <c r="E28" s="224">
        <f t="shared" si="0"/>
        <v>100</v>
      </c>
      <c r="F28" s="353">
        <v>100586</v>
      </c>
      <c r="G28" s="361"/>
      <c r="H28" s="361"/>
    </row>
    <row r="29" spans="1:8" s="362" customFormat="1" x14ac:dyDescent="0.2">
      <c r="A29" s="230" t="s">
        <v>379</v>
      </c>
      <c r="B29" s="360">
        <v>100000</v>
      </c>
      <c r="C29" s="223">
        <v>99000</v>
      </c>
      <c r="D29" s="236">
        <v>99000</v>
      </c>
      <c r="E29" s="224">
        <f t="shared" si="0"/>
        <v>100</v>
      </c>
      <c r="F29" s="353">
        <v>100587</v>
      </c>
      <c r="G29" s="361"/>
      <c r="H29" s="361"/>
    </row>
    <row r="30" spans="1:8" s="362" customFormat="1" ht="25.5" x14ac:dyDescent="0.2">
      <c r="A30" s="230" t="s">
        <v>380</v>
      </c>
      <c r="B30" s="360">
        <v>50000</v>
      </c>
      <c r="C30" s="223">
        <v>50000</v>
      </c>
      <c r="D30" s="236">
        <v>49800</v>
      </c>
      <c r="E30" s="224">
        <f t="shared" si="0"/>
        <v>99.6</v>
      </c>
      <c r="F30" s="353">
        <v>100588</v>
      </c>
      <c r="G30" s="361"/>
      <c r="H30" s="361"/>
    </row>
    <row r="31" spans="1:8" s="362" customFormat="1" ht="25.5" x14ac:dyDescent="0.2">
      <c r="A31" s="230" t="s">
        <v>381</v>
      </c>
      <c r="B31" s="360">
        <v>500000</v>
      </c>
      <c r="C31" s="223">
        <v>325750</v>
      </c>
      <c r="D31" s="236">
        <v>325749</v>
      </c>
      <c r="E31" s="224">
        <f t="shared" si="0"/>
        <v>99.999693016116652</v>
      </c>
      <c r="F31" s="353">
        <v>100589</v>
      </c>
      <c r="G31" s="361"/>
      <c r="H31" s="361"/>
    </row>
    <row r="32" spans="1:8" s="362" customFormat="1" ht="25.5" x14ac:dyDescent="0.2">
      <c r="A32" s="230" t="s">
        <v>382</v>
      </c>
      <c r="B32" s="360">
        <v>900000</v>
      </c>
      <c r="C32" s="223">
        <v>0</v>
      </c>
      <c r="D32" s="236">
        <v>0</v>
      </c>
      <c r="E32" s="224">
        <v>0</v>
      </c>
      <c r="F32" s="353">
        <v>100590</v>
      </c>
      <c r="G32" s="361"/>
      <c r="H32" s="361"/>
    </row>
    <row r="33" spans="1:8" s="362" customFormat="1" x14ac:dyDescent="0.2">
      <c r="A33" s="230" t="s">
        <v>383</v>
      </c>
      <c r="B33" s="360">
        <v>550000</v>
      </c>
      <c r="C33" s="223">
        <v>0</v>
      </c>
      <c r="D33" s="236">
        <v>0</v>
      </c>
      <c r="E33" s="224">
        <v>0</v>
      </c>
      <c r="F33" s="353">
        <v>100591</v>
      </c>
      <c r="G33" s="361"/>
      <c r="H33" s="361"/>
    </row>
    <row r="34" spans="1:8" s="362" customFormat="1" x14ac:dyDescent="0.2">
      <c r="A34" s="230" t="s">
        <v>384</v>
      </c>
      <c r="B34" s="360">
        <v>350000</v>
      </c>
      <c r="C34" s="223">
        <v>348849</v>
      </c>
      <c r="D34" s="236">
        <v>348848.99</v>
      </c>
      <c r="E34" s="224">
        <f>D34/C34*100</f>
        <v>99.999997133430213</v>
      </c>
      <c r="F34" s="353">
        <v>100592</v>
      </c>
      <c r="G34" s="361"/>
      <c r="H34" s="361"/>
    </row>
    <row r="35" spans="1:8" s="362" customFormat="1" ht="25.5" x14ac:dyDescent="0.2">
      <c r="A35" s="230" t="s">
        <v>385</v>
      </c>
      <c r="B35" s="360">
        <v>350000</v>
      </c>
      <c r="C35" s="223">
        <v>344326</v>
      </c>
      <c r="D35" s="236">
        <v>344326</v>
      </c>
      <c r="E35" s="224">
        <f>D35/C35*100</f>
        <v>100</v>
      </c>
      <c r="F35" s="353">
        <v>100593</v>
      </c>
      <c r="G35" s="361"/>
      <c r="H35" s="361"/>
    </row>
    <row r="36" spans="1:8" s="362" customFormat="1" ht="25.5" x14ac:dyDescent="0.2">
      <c r="A36" s="230" t="s">
        <v>386</v>
      </c>
      <c r="B36" s="360">
        <v>780000</v>
      </c>
      <c r="C36" s="223">
        <v>0</v>
      </c>
      <c r="D36" s="236">
        <v>0</v>
      </c>
      <c r="E36" s="224">
        <v>0</v>
      </c>
      <c r="F36" s="353">
        <v>100594</v>
      </c>
      <c r="G36" s="361"/>
      <c r="H36" s="361"/>
    </row>
    <row r="37" spans="1:8" s="362" customFormat="1" ht="25.5" x14ac:dyDescent="0.2">
      <c r="A37" s="230" t="s">
        <v>387</v>
      </c>
      <c r="B37" s="360">
        <v>800000</v>
      </c>
      <c r="C37" s="223">
        <v>0</v>
      </c>
      <c r="D37" s="236">
        <v>0</v>
      </c>
      <c r="E37" s="224">
        <v>0</v>
      </c>
      <c r="F37" s="353">
        <v>100595</v>
      </c>
      <c r="G37" s="361"/>
      <c r="H37" s="361"/>
    </row>
    <row r="38" spans="1:8" s="362" customFormat="1" ht="17.25" customHeight="1" x14ac:dyDescent="0.2">
      <c r="A38" s="230" t="s">
        <v>388</v>
      </c>
      <c r="B38" s="360">
        <v>1000000</v>
      </c>
      <c r="C38" s="234">
        <v>0</v>
      </c>
      <c r="D38" s="235">
        <v>0</v>
      </c>
      <c r="E38" s="224">
        <v>0</v>
      </c>
      <c r="F38" s="353">
        <v>100596</v>
      </c>
      <c r="G38" s="361"/>
      <c r="H38" s="361"/>
    </row>
    <row r="39" spans="1:8" s="362" customFormat="1" x14ac:dyDescent="0.2">
      <c r="A39" s="365" t="s">
        <v>389</v>
      </c>
      <c r="B39" s="360">
        <v>800000</v>
      </c>
      <c r="C39" s="235">
        <v>0</v>
      </c>
      <c r="D39" s="235">
        <v>0</v>
      </c>
      <c r="E39" s="224">
        <v>0</v>
      </c>
      <c r="F39" s="353">
        <v>100597</v>
      </c>
      <c r="G39" s="361"/>
      <c r="H39" s="361"/>
    </row>
    <row r="40" spans="1:8" s="362" customFormat="1" x14ac:dyDescent="0.2">
      <c r="A40" s="230" t="s">
        <v>390</v>
      </c>
      <c r="B40" s="360">
        <v>2500000</v>
      </c>
      <c r="C40" s="235">
        <v>0</v>
      </c>
      <c r="D40" s="235">
        <v>0</v>
      </c>
      <c r="E40" s="224">
        <v>0</v>
      </c>
      <c r="F40" s="353">
        <v>100598</v>
      </c>
      <c r="G40" s="361"/>
      <c r="H40" s="361"/>
    </row>
    <row r="41" spans="1:8" s="362" customFormat="1" x14ac:dyDescent="0.2">
      <c r="A41" s="230" t="s">
        <v>391</v>
      </c>
      <c r="B41" s="360">
        <v>2500000</v>
      </c>
      <c r="C41" s="235">
        <v>0</v>
      </c>
      <c r="D41" s="235">
        <v>0</v>
      </c>
      <c r="E41" s="224">
        <v>0</v>
      </c>
      <c r="F41" s="353">
        <v>100599</v>
      </c>
      <c r="G41" s="361"/>
      <c r="H41" s="361"/>
    </row>
    <row r="42" spans="1:8" s="362" customFormat="1" ht="25.5" x14ac:dyDescent="0.2">
      <c r="A42" s="230" t="s">
        <v>392</v>
      </c>
      <c r="B42" s="360">
        <v>1458000</v>
      </c>
      <c r="C42" s="235">
        <v>0</v>
      </c>
      <c r="D42" s="235">
        <v>0</v>
      </c>
      <c r="E42" s="224">
        <v>0</v>
      </c>
      <c r="F42" s="353">
        <v>100600</v>
      </c>
      <c r="G42" s="361"/>
      <c r="H42" s="361"/>
    </row>
    <row r="43" spans="1:8" s="362" customFormat="1" ht="25.5" x14ac:dyDescent="0.2">
      <c r="A43" s="230" t="s">
        <v>393</v>
      </c>
      <c r="B43" s="360">
        <v>1900000</v>
      </c>
      <c r="C43" s="235">
        <v>0</v>
      </c>
      <c r="D43" s="235">
        <v>0</v>
      </c>
      <c r="E43" s="224">
        <v>0</v>
      </c>
      <c r="F43" s="353">
        <v>100601</v>
      </c>
      <c r="G43" s="361"/>
      <c r="H43" s="361"/>
    </row>
    <row r="44" spans="1:8" s="362" customFormat="1" ht="25.5" x14ac:dyDescent="0.2">
      <c r="A44" s="230" t="s">
        <v>394</v>
      </c>
      <c r="B44" s="360">
        <v>1580000</v>
      </c>
      <c r="C44" s="235">
        <v>0</v>
      </c>
      <c r="D44" s="235">
        <v>0</v>
      </c>
      <c r="E44" s="224">
        <v>0</v>
      </c>
      <c r="F44" s="353">
        <v>100602</v>
      </c>
      <c r="G44" s="361"/>
      <c r="H44" s="361"/>
    </row>
    <row r="45" spans="1:8" s="362" customFormat="1" ht="25.5" x14ac:dyDescent="0.2">
      <c r="A45" s="230" t="s">
        <v>395</v>
      </c>
      <c r="B45" s="360">
        <v>11735000</v>
      </c>
      <c r="C45" s="235">
        <v>0</v>
      </c>
      <c r="D45" s="235">
        <v>0</v>
      </c>
      <c r="E45" s="224">
        <v>0</v>
      </c>
      <c r="F45" s="353">
        <v>100603</v>
      </c>
      <c r="G45" s="361"/>
      <c r="H45" s="361"/>
    </row>
    <row r="46" spans="1:8" s="362" customFormat="1" ht="25.5" x14ac:dyDescent="0.2">
      <c r="A46" s="230" t="s">
        <v>396</v>
      </c>
      <c r="B46" s="360">
        <v>4300000</v>
      </c>
      <c r="C46" s="235">
        <v>0</v>
      </c>
      <c r="D46" s="235">
        <v>0</v>
      </c>
      <c r="E46" s="224">
        <v>0</v>
      </c>
      <c r="F46" s="353">
        <v>100604</v>
      </c>
      <c r="G46" s="361"/>
      <c r="H46" s="361"/>
    </row>
    <row r="47" spans="1:8" s="362" customFormat="1" x14ac:dyDescent="0.2">
      <c r="A47" s="230" t="s">
        <v>397</v>
      </c>
      <c r="B47" s="360">
        <v>1100000</v>
      </c>
      <c r="C47" s="235">
        <v>0</v>
      </c>
      <c r="D47" s="235">
        <v>0</v>
      </c>
      <c r="E47" s="224">
        <v>0</v>
      </c>
      <c r="F47" s="353">
        <v>100605</v>
      </c>
      <c r="G47" s="361"/>
      <c r="H47" s="361"/>
    </row>
    <row r="48" spans="1:8" s="362" customFormat="1" x14ac:dyDescent="0.2">
      <c r="A48" s="230" t="s">
        <v>398</v>
      </c>
      <c r="B48" s="360">
        <v>2100000</v>
      </c>
      <c r="C48" s="235">
        <v>0</v>
      </c>
      <c r="D48" s="235">
        <v>0</v>
      </c>
      <c r="E48" s="224">
        <v>0</v>
      </c>
      <c r="F48" s="353">
        <v>100606</v>
      </c>
      <c r="G48" s="361"/>
      <c r="H48" s="361"/>
    </row>
    <row r="49" spans="1:8" s="362" customFormat="1" x14ac:dyDescent="0.2">
      <c r="A49" s="230" t="s">
        <v>399</v>
      </c>
      <c r="B49" s="360">
        <v>1300000</v>
      </c>
      <c r="C49" s="223">
        <v>200000</v>
      </c>
      <c r="D49" s="236">
        <v>200000</v>
      </c>
      <c r="E49" s="224">
        <f>D49/C49*100</f>
        <v>100</v>
      </c>
      <c r="F49" s="353">
        <v>100607</v>
      </c>
      <c r="G49" s="361"/>
      <c r="H49" s="361"/>
    </row>
    <row r="50" spans="1:8" s="362" customFormat="1" x14ac:dyDescent="0.2">
      <c r="A50" s="230" t="s">
        <v>400</v>
      </c>
      <c r="B50" s="360">
        <v>800000</v>
      </c>
      <c r="C50" s="223">
        <v>0</v>
      </c>
      <c r="D50" s="236">
        <v>0</v>
      </c>
      <c r="E50" s="224">
        <v>0</v>
      </c>
      <c r="F50" s="353">
        <v>100608</v>
      </c>
      <c r="G50" s="361"/>
      <c r="H50" s="361"/>
    </row>
    <row r="51" spans="1:8" s="362" customFormat="1" x14ac:dyDescent="0.2">
      <c r="A51" s="230" t="s">
        <v>401</v>
      </c>
      <c r="B51" s="360">
        <v>1000000</v>
      </c>
      <c r="C51" s="223">
        <v>0</v>
      </c>
      <c r="D51" s="236">
        <v>0</v>
      </c>
      <c r="E51" s="224">
        <v>0</v>
      </c>
      <c r="F51" s="353">
        <v>100609</v>
      </c>
      <c r="G51" s="361"/>
      <c r="H51" s="361"/>
    </row>
    <row r="52" spans="1:8" s="362" customFormat="1" x14ac:dyDescent="0.2">
      <c r="A52" s="230" t="s">
        <v>402</v>
      </c>
      <c r="B52" s="360">
        <v>300000</v>
      </c>
      <c r="C52" s="223">
        <v>0</v>
      </c>
      <c r="D52" s="236">
        <v>0</v>
      </c>
      <c r="E52" s="224">
        <v>0</v>
      </c>
      <c r="F52" s="353">
        <v>100610</v>
      </c>
      <c r="G52" s="361"/>
      <c r="H52" s="361"/>
    </row>
    <row r="53" spans="1:8" s="362" customFormat="1" x14ac:dyDescent="0.2">
      <c r="A53" s="230" t="s">
        <v>403</v>
      </c>
      <c r="B53" s="360">
        <v>900000</v>
      </c>
      <c r="C53" s="223">
        <v>54500</v>
      </c>
      <c r="D53" s="236">
        <v>54500</v>
      </c>
      <c r="E53" s="224">
        <f>D53/C53*100</f>
        <v>100</v>
      </c>
      <c r="F53" s="353">
        <v>100611</v>
      </c>
      <c r="G53" s="361"/>
      <c r="H53" s="361"/>
    </row>
    <row r="54" spans="1:8" s="362" customFormat="1" x14ac:dyDescent="0.2">
      <c r="A54" s="230" t="s">
        <v>404</v>
      </c>
      <c r="B54" s="360">
        <v>1800000</v>
      </c>
      <c r="C54" s="223">
        <v>0</v>
      </c>
      <c r="D54" s="236">
        <v>0</v>
      </c>
      <c r="E54" s="224">
        <v>0</v>
      </c>
      <c r="F54" s="353">
        <v>100612</v>
      </c>
      <c r="G54" s="361"/>
      <c r="H54" s="361"/>
    </row>
    <row r="55" spans="1:8" s="362" customFormat="1" ht="25.5" x14ac:dyDescent="0.2">
      <c r="A55" s="230" t="s">
        <v>405</v>
      </c>
      <c r="B55" s="360">
        <v>1200000</v>
      </c>
      <c r="C55" s="236">
        <v>791365</v>
      </c>
      <c r="D55" s="223">
        <v>791365</v>
      </c>
      <c r="E55" s="224">
        <f>D55/C55*100</f>
        <v>100</v>
      </c>
      <c r="F55" s="353">
        <v>100613</v>
      </c>
      <c r="G55" s="361"/>
      <c r="H55" s="361"/>
    </row>
    <row r="56" spans="1:8" s="362" customFormat="1" ht="25.5" x14ac:dyDescent="0.2">
      <c r="A56" s="230" t="s">
        <v>406</v>
      </c>
      <c r="B56" s="360">
        <v>570000</v>
      </c>
      <c r="C56" s="223">
        <v>0</v>
      </c>
      <c r="D56" s="236">
        <v>0</v>
      </c>
      <c r="E56" s="224">
        <v>0</v>
      </c>
      <c r="F56" s="353">
        <v>100614</v>
      </c>
      <c r="G56" s="361"/>
      <c r="H56" s="361"/>
    </row>
    <row r="57" spans="1:8" s="362" customFormat="1" ht="25.5" x14ac:dyDescent="0.2">
      <c r="A57" s="230" t="s">
        <v>407</v>
      </c>
      <c r="B57" s="360">
        <v>580000</v>
      </c>
      <c r="C57" s="223">
        <v>371872</v>
      </c>
      <c r="D57" s="236">
        <v>371872</v>
      </c>
      <c r="E57" s="224">
        <f>D57/C57*100</f>
        <v>100</v>
      </c>
      <c r="F57" s="353">
        <v>100615</v>
      </c>
      <c r="G57" s="361"/>
      <c r="H57" s="361"/>
    </row>
    <row r="58" spans="1:8" s="362" customFormat="1" x14ac:dyDescent="0.2">
      <c r="A58" s="230" t="s">
        <v>408</v>
      </c>
      <c r="B58" s="360">
        <v>850000</v>
      </c>
      <c r="C58" s="223">
        <v>939827</v>
      </c>
      <c r="D58" s="236">
        <v>939827</v>
      </c>
      <c r="E58" s="224">
        <f>D58/C58*100</f>
        <v>100</v>
      </c>
      <c r="F58" s="353">
        <v>100616</v>
      </c>
      <c r="G58" s="361"/>
      <c r="H58" s="361"/>
    </row>
    <row r="59" spans="1:8" s="362" customFormat="1" ht="25.5" x14ac:dyDescent="0.2">
      <c r="A59" s="230" t="s">
        <v>409</v>
      </c>
      <c r="B59" s="360">
        <v>1405000</v>
      </c>
      <c r="C59" s="223">
        <v>738517</v>
      </c>
      <c r="D59" s="236">
        <v>738516.59</v>
      </c>
      <c r="E59" s="224">
        <f>D59/C59*100</f>
        <v>99.999944483336208</v>
      </c>
      <c r="F59" s="353">
        <v>100617</v>
      </c>
      <c r="G59" s="361"/>
      <c r="H59" s="361"/>
    </row>
    <row r="60" spans="1:8" s="362" customFormat="1" x14ac:dyDescent="0.2">
      <c r="A60" s="230" t="s">
        <v>410</v>
      </c>
      <c r="B60" s="360">
        <v>250000</v>
      </c>
      <c r="C60" s="223">
        <v>0</v>
      </c>
      <c r="D60" s="236">
        <v>0</v>
      </c>
      <c r="E60" s="224">
        <v>0</v>
      </c>
      <c r="F60" s="353">
        <v>100618</v>
      </c>
      <c r="G60" s="361"/>
      <c r="H60" s="361"/>
    </row>
    <row r="61" spans="1:8" s="362" customFormat="1" x14ac:dyDescent="0.2">
      <c r="A61" s="230" t="s">
        <v>411</v>
      </c>
      <c r="B61" s="360">
        <v>1100000</v>
      </c>
      <c r="C61" s="223">
        <v>1028525</v>
      </c>
      <c r="D61" s="236">
        <v>1028525</v>
      </c>
      <c r="E61" s="224">
        <f>D61/C61*100</f>
        <v>100</v>
      </c>
      <c r="F61" s="353">
        <v>100619</v>
      </c>
      <c r="G61" s="361"/>
      <c r="H61" s="361"/>
    </row>
    <row r="62" spans="1:8" s="362" customFormat="1" x14ac:dyDescent="0.2">
      <c r="A62" s="230" t="s">
        <v>412</v>
      </c>
      <c r="B62" s="360">
        <v>400000</v>
      </c>
      <c r="C62" s="223">
        <v>0</v>
      </c>
      <c r="D62" s="236">
        <v>0</v>
      </c>
      <c r="E62" s="224">
        <v>0</v>
      </c>
      <c r="F62" s="353">
        <v>100620</v>
      </c>
      <c r="G62" s="361"/>
      <c r="H62" s="361"/>
    </row>
    <row r="63" spans="1:8" s="362" customFormat="1" x14ac:dyDescent="0.2">
      <c r="A63" s="230" t="s">
        <v>414</v>
      </c>
      <c r="B63" s="360">
        <v>950000</v>
      </c>
      <c r="C63" s="236">
        <v>1032680</v>
      </c>
      <c r="D63" s="236">
        <v>1032678</v>
      </c>
      <c r="E63" s="224">
        <f>D63/C63*100</f>
        <v>99.999806329162951</v>
      </c>
      <c r="F63" s="353">
        <v>100622</v>
      </c>
      <c r="G63" s="361"/>
      <c r="H63" s="361"/>
    </row>
    <row r="64" spans="1:8" s="362" customFormat="1" ht="13.5" thickBot="1" x14ac:dyDescent="0.25">
      <c r="A64" s="364" t="s">
        <v>413</v>
      </c>
      <c r="B64" s="366">
        <v>500000</v>
      </c>
      <c r="C64" s="260">
        <v>532123</v>
      </c>
      <c r="D64" s="260">
        <v>58260</v>
      </c>
      <c r="E64" s="240">
        <f>D64/C64*100</f>
        <v>10.948596471116641</v>
      </c>
      <c r="F64" s="353">
        <v>100621</v>
      </c>
      <c r="G64" s="361"/>
      <c r="H64" s="361"/>
    </row>
    <row r="65" spans="1:8" s="244" customFormat="1" ht="16.5" thickTop="1" thickBot="1" x14ac:dyDescent="0.3">
      <c r="A65" s="211"/>
      <c r="B65" s="117"/>
      <c r="C65" s="117"/>
      <c r="D65" s="115"/>
      <c r="E65" s="212" t="s">
        <v>27</v>
      </c>
      <c r="F65" s="363"/>
      <c r="G65" s="243"/>
      <c r="H65" s="243"/>
    </row>
    <row r="66" spans="1:8" s="244" customFormat="1" ht="14.25" thickTop="1" thickBot="1" x14ac:dyDescent="0.25">
      <c r="A66" s="213" t="s">
        <v>14</v>
      </c>
      <c r="B66" s="214" t="s">
        <v>0</v>
      </c>
      <c r="C66" s="215" t="s">
        <v>1</v>
      </c>
      <c r="D66" s="216" t="s">
        <v>13</v>
      </c>
      <c r="E66" s="217" t="s">
        <v>15</v>
      </c>
      <c r="F66" s="363"/>
      <c r="G66" s="243"/>
      <c r="H66" s="243"/>
    </row>
    <row r="67" spans="1:8" s="362" customFormat="1" ht="26.25" thickTop="1" x14ac:dyDescent="0.2">
      <c r="A67" s="230" t="s">
        <v>415</v>
      </c>
      <c r="B67" s="360">
        <v>2212000</v>
      </c>
      <c r="C67" s="236">
        <v>0</v>
      </c>
      <c r="D67" s="236">
        <v>0</v>
      </c>
      <c r="E67" s="224">
        <v>0</v>
      </c>
      <c r="F67" s="353">
        <v>100623</v>
      </c>
      <c r="G67" s="361"/>
      <c r="H67" s="361"/>
    </row>
    <row r="68" spans="1:8" s="226" customFormat="1" ht="25.5" x14ac:dyDescent="0.2">
      <c r="A68" s="230" t="s">
        <v>416</v>
      </c>
      <c r="B68" s="222">
        <v>1200000</v>
      </c>
      <c r="C68" s="232">
        <v>0</v>
      </c>
      <c r="D68" s="232">
        <v>0</v>
      </c>
      <c r="E68" s="224">
        <v>0</v>
      </c>
      <c r="F68" s="353">
        <v>100624</v>
      </c>
      <c r="G68" s="225"/>
      <c r="H68" s="225"/>
    </row>
    <row r="69" spans="1:8" s="226" customFormat="1" x14ac:dyDescent="0.2">
      <c r="A69" s="230" t="s">
        <v>417</v>
      </c>
      <c r="B69" s="222">
        <v>600000</v>
      </c>
      <c r="C69" s="232">
        <v>780389.89</v>
      </c>
      <c r="D69" s="232">
        <v>780182.83</v>
      </c>
      <c r="E69" s="224">
        <f>D69/C69*100</f>
        <v>99.973467108857591</v>
      </c>
      <c r="F69" s="353">
        <v>100625</v>
      </c>
      <c r="G69" s="225"/>
      <c r="H69" s="225"/>
    </row>
    <row r="70" spans="1:8" s="226" customFormat="1" x14ac:dyDescent="0.2">
      <c r="A70" s="230" t="s">
        <v>418</v>
      </c>
      <c r="B70" s="222">
        <v>550000</v>
      </c>
      <c r="C70" s="232">
        <v>1254839.99</v>
      </c>
      <c r="D70" s="232">
        <v>1254751</v>
      </c>
      <c r="E70" s="224">
        <f>D70/C70*100</f>
        <v>99.992908259163784</v>
      </c>
      <c r="F70" s="353">
        <v>100626</v>
      </c>
      <c r="G70" s="225"/>
      <c r="H70" s="225"/>
    </row>
    <row r="71" spans="1:8" s="226" customFormat="1" x14ac:dyDescent="0.2">
      <c r="A71" s="233" t="s">
        <v>371</v>
      </c>
      <c r="B71" s="222">
        <v>600000</v>
      </c>
      <c r="C71" s="232">
        <v>0</v>
      </c>
      <c r="D71" s="232">
        <v>0</v>
      </c>
      <c r="E71" s="224">
        <v>0</v>
      </c>
      <c r="F71" s="363">
        <v>100659</v>
      </c>
      <c r="G71" s="225"/>
      <c r="H71" s="225"/>
    </row>
    <row r="72" spans="1:8" s="226" customFormat="1" x14ac:dyDescent="0.2">
      <c r="A72" s="233" t="s">
        <v>372</v>
      </c>
      <c r="B72" s="222">
        <v>0</v>
      </c>
      <c r="C72" s="232">
        <v>2443000</v>
      </c>
      <c r="D72" s="232">
        <v>1892759</v>
      </c>
      <c r="E72" s="224">
        <f>D72/C72*100</f>
        <v>77.476831764224315</v>
      </c>
      <c r="F72" s="363">
        <v>100688</v>
      </c>
      <c r="G72" s="225"/>
      <c r="H72" s="225"/>
    </row>
    <row r="73" spans="1:8" s="226" customFormat="1" x14ac:dyDescent="0.2">
      <c r="A73" s="233" t="s">
        <v>373</v>
      </c>
      <c r="B73" s="222">
        <v>0</v>
      </c>
      <c r="C73" s="232">
        <v>600000</v>
      </c>
      <c r="D73" s="232">
        <v>15473</v>
      </c>
      <c r="E73" s="224">
        <f>D73/C73*100</f>
        <v>2.5788333333333333</v>
      </c>
      <c r="F73" s="363">
        <v>100689</v>
      </c>
      <c r="G73" s="225"/>
      <c r="H73" s="225"/>
    </row>
    <row r="74" spans="1:8" s="226" customFormat="1" ht="25.5" x14ac:dyDescent="0.2">
      <c r="A74" s="233" t="s">
        <v>613</v>
      </c>
      <c r="B74" s="222">
        <v>0</v>
      </c>
      <c r="C74" s="232">
        <v>5000</v>
      </c>
      <c r="D74" s="232">
        <v>1800</v>
      </c>
      <c r="E74" s="224">
        <f t="shared" ref="E74:E89" si="1">D74/C74*100</f>
        <v>36</v>
      </c>
      <c r="F74" s="363">
        <v>100087</v>
      </c>
      <c r="G74" s="225" t="s">
        <v>612</v>
      </c>
      <c r="H74" s="225"/>
    </row>
    <row r="75" spans="1:8" s="226" customFormat="1" x14ac:dyDescent="0.2">
      <c r="A75" s="233" t="s">
        <v>614</v>
      </c>
      <c r="B75" s="222">
        <v>0</v>
      </c>
      <c r="C75" s="232">
        <v>132400</v>
      </c>
      <c r="D75" s="232">
        <v>128868</v>
      </c>
      <c r="E75" s="224">
        <f t="shared" si="1"/>
        <v>97.332326283987911</v>
      </c>
      <c r="F75" s="363">
        <v>100133</v>
      </c>
      <c r="G75" s="225" t="s">
        <v>612</v>
      </c>
      <c r="H75" s="225"/>
    </row>
    <row r="76" spans="1:8" s="226" customFormat="1" x14ac:dyDescent="0.2">
      <c r="A76" s="233" t="s">
        <v>615</v>
      </c>
      <c r="B76" s="222">
        <v>0</v>
      </c>
      <c r="C76" s="232">
        <v>20000</v>
      </c>
      <c r="D76" s="232">
        <v>0</v>
      </c>
      <c r="E76" s="224">
        <f t="shared" si="1"/>
        <v>0</v>
      </c>
      <c r="F76" s="363">
        <v>100134</v>
      </c>
      <c r="G76" s="225" t="s">
        <v>612</v>
      </c>
      <c r="H76" s="225"/>
    </row>
    <row r="77" spans="1:8" s="226" customFormat="1" x14ac:dyDescent="0.2">
      <c r="A77" s="233" t="s">
        <v>140</v>
      </c>
      <c r="B77" s="222">
        <v>0</v>
      </c>
      <c r="C77" s="232">
        <v>154400</v>
      </c>
      <c r="D77" s="232">
        <v>154392</v>
      </c>
      <c r="E77" s="224">
        <f t="shared" si="1"/>
        <v>99.994818652849744</v>
      </c>
      <c r="F77" s="363">
        <v>100221</v>
      </c>
      <c r="G77" s="225" t="s">
        <v>612</v>
      </c>
      <c r="H77" s="225"/>
    </row>
    <row r="78" spans="1:8" s="226" customFormat="1" x14ac:dyDescent="0.2">
      <c r="A78" s="233" t="s">
        <v>616</v>
      </c>
      <c r="B78" s="222">
        <v>0</v>
      </c>
      <c r="C78" s="232">
        <v>259640</v>
      </c>
      <c r="D78" s="232">
        <v>224640</v>
      </c>
      <c r="E78" s="224">
        <f t="shared" si="1"/>
        <v>86.519796641503618</v>
      </c>
      <c r="F78" s="363">
        <v>100461</v>
      </c>
      <c r="G78" s="225" t="s">
        <v>612</v>
      </c>
      <c r="H78" s="225"/>
    </row>
    <row r="79" spans="1:8" s="226" customFormat="1" x14ac:dyDescent="0.2">
      <c r="A79" s="233" t="s">
        <v>617</v>
      </c>
      <c r="B79" s="222">
        <v>0</v>
      </c>
      <c r="C79" s="232">
        <v>206100</v>
      </c>
      <c r="D79" s="232">
        <v>206100</v>
      </c>
      <c r="E79" s="224">
        <f t="shared" si="1"/>
        <v>100</v>
      </c>
      <c r="F79" s="363">
        <v>100462</v>
      </c>
      <c r="G79" s="225" t="s">
        <v>612</v>
      </c>
      <c r="H79" s="225"/>
    </row>
    <row r="80" spans="1:8" s="226" customFormat="1" x14ac:dyDescent="0.2">
      <c r="A80" s="233" t="s">
        <v>141</v>
      </c>
      <c r="B80" s="222">
        <v>0</v>
      </c>
      <c r="C80" s="232">
        <v>154400</v>
      </c>
      <c r="D80" s="232">
        <v>132420</v>
      </c>
      <c r="E80" s="224">
        <f t="shared" si="1"/>
        <v>85.764248704663217</v>
      </c>
      <c r="F80" s="363">
        <v>100464</v>
      </c>
      <c r="G80" s="225" t="s">
        <v>612</v>
      </c>
      <c r="H80" s="225"/>
    </row>
    <row r="81" spans="1:9" s="226" customFormat="1" x14ac:dyDescent="0.2">
      <c r="A81" s="233" t="s">
        <v>618</v>
      </c>
      <c r="B81" s="222">
        <v>0</v>
      </c>
      <c r="C81" s="232">
        <v>54000</v>
      </c>
      <c r="D81" s="232">
        <v>54000</v>
      </c>
      <c r="E81" s="224">
        <f t="shared" si="1"/>
        <v>100</v>
      </c>
      <c r="F81" s="363">
        <v>100467</v>
      </c>
      <c r="G81" s="225" t="s">
        <v>612</v>
      </c>
      <c r="H81" s="225"/>
    </row>
    <row r="82" spans="1:9" s="226" customFormat="1" x14ac:dyDescent="0.2">
      <c r="A82" s="233" t="s">
        <v>619</v>
      </c>
      <c r="B82" s="222">
        <v>0</v>
      </c>
      <c r="C82" s="232">
        <v>6000</v>
      </c>
      <c r="D82" s="232">
        <v>6000</v>
      </c>
      <c r="E82" s="224">
        <f t="shared" si="1"/>
        <v>100</v>
      </c>
      <c r="F82" s="363">
        <v>100468</v>
      </c>
      <c r="G82" s="225" t="s">
        <v>612</v>
      </c>
      <c r="H82" s="225"/>
    </row>
    <row r="83" spans="1:9" s="226" customFormat="1" x14ac:dyDescent="0.2">
      <c r="A83" s="233" t="s">
        <v>142</v>
      </c>
      <c r="B83" s="222">
        <v>0</v>
      </c>
      <c r="C83" s="232">
        <v>54000</v>
      </c>
      <c r="D83" s="232">
        <v>54000</v>
      </c>
      <c r="E83" s="224">
        <f t="shared" si="1"/>
        <v>100</v>
      </c>
      <c r="F83" s="363">
        <v>100471</v>
      </c>
      <c r="G83" s="225" t="s">
        <v>612</v>
      </c>
      <c r="H83" s="225"/>
    </row>
    <row r="84" spans="1:9" s="226" customFormat="1" x14ac:dyDescent="0.2">
      <c r="A84" s="233" t="s">
        <v>620</v>
      </c>
      <c r="B84" s="222">
        <v>0</v>
      </c>
      <c r="C84" s="232">
        <v>76000</v>
      </c>
      <c r="D84" s="232">
        <v>73872</v>
      </c>
      <c r="E84" s="224">
        <f t="shared" si="1"/>
        <v>97.2</v>
      </c>
      <c r="F84" s="363">
        <v>100472</v>
      </c>
      <c r="G84" s="225" t="s">
        <v>612</v>
      </c>
      <c r="H84" s="225"/>
    </row>
    <row r="85" spans="1:9" s="226" customFormat="1" x14ac:dyDescent="0.2">
      <c r="A85" s="233" t="s">
        <v>621</v>
      </c>
      <c r="B85" s="222">
        <v>0</v>
      </c>
      <c r="C85" s="232">
        <v>13200</v>
      </c>
      <c r="D85" s="232">
        <v>13200</v>
      </c>
      <c r="E85" s="224">
        <f t="shared" si="1"/>
        <v>100</v>
      </c>
      <c r="F85" s="363">
        <v>100510</v>
      </c>
      <c r="G85" s="225" t="s">
        <v>612</v>
      </c>
      <c r="H85" s="225"/>
    </row>
    <row r="86" spans="1:9" s="226" customFormat="1" x14ac:dyDescent="0.2">
      <c r="A86" s="233" t="s">
        <v>622</v>
      </c>
      <c r="B86" s="222">
        <v>0</v>
      </c>
      <c r="C86" s="232">
        <v>14400</v>
      </c>
      <c r="D86" s="232">
        <v>0</v>
      </c>
      <c r="E86" s="224">
        <f t="shared" si="1"/>
        <v>0</v>
      </c>
      <c r="F86" s="363">
        <v>100547</v>
      </c>
      <c r="G86" s="225" t="s">
        <v>612</v>
      </c>
      <c r="H86" s="225"/>
    </row>
    <row r="87" spans="1:9" s="226" customFormat="1" x14ac:dyDescent="0.2">
      <c r="A87" s="233" t="s">
        <v>623</v>
      </c>
      <c r="B87" s="222">
        <v>0</v>
      </c>
      <c r="C87" s="232">
        <v>20000</v>
      </c>
      <c r="D87" s="232">
        <v>18000</v>
      </c>
      <c r="E87" s="224">
        <f t="shared" si="1"/>
        <v>90</v>
      </c>
      <c r="F87" s="363">
        <v>100549</v>
      </c>
      <c r="G87" s="225" t="s">
        <v>612</v>
      </c>
      <c r="H87" s="225"/>
    </row>
    <row r="88" spans="1:9" s="226" customFormat="1" x14ac:dyDescent="0.2">
      <c r="A88" s="233" t="s">
        <v>624</v>
      </c>
      <c r="B88" s="222">
        <v>0</v>
      </c>
      <c r="C88" s="232">
        <v>924000</v>
      </c>
      <c r="D88" s="232">
        <v>805200</v>
      </c>
      <c r="E88" s="224">
        <f t="shared" si="1"/>
        <v>87.142857142857139</v>
      </c>
      <c r="F88" s="363">
        <v>100573</v>
      </c>
      <c r="G88" s="225" t="s">
        <v>612</v>
      </c>
      <c r="H88" s="225"/>
    </row>
    <row r="89" spans="1:9" s="226" customFormat="1" ht="13.5" thickBot="1" x14ac:dyDescent="0.25">
      <c r="A89" s="237" t="s">
        <v>625</v>
      </c>
      <c r="B89" s="238">
        <v>0</v>
      </c>
      <c r="C89" s="239">
        <v>265000</v>
      </c>
      <c r="D89" s="239">
        <v>102000</v>
      </c>
      <c r="E89" s="240">
        <f t="shared" si="1"/>
        <v>38.490566037735853</v>
      </c>
      <c r="F89" s="363">
        <v>100575</v>
      </c>
      <c r="G89" s="225" t="s">
        <v>612</v>
      </c>
      <c r="H89" s="405">
        <f>SUM(C74:C89)</f>
        <v>2358540</v>
      </c>
      <c r="I89" s="405">
        <f>SUM(D74:D89)</f>
        <v>1974492</v>
      </c>
    </row>
    <row r="90" spans="1:9" s="226" customFormat="1" ht="13.5" thickTop="1" x14ac:dyDescent="0.2">
      <c r="A90" s="369"/>
      <c r="B90" s="241"/>
      <c r="C90" s="229"/>
      <c r="D90" s="229"/>
      <c r="E90" s="242"/>
      <c r="F90" s="363"/>
      <c r="G90" s="225"/>
      <c r="H90" s="225"/>
    </row>
    <row r="91" spans="1:9" ht="15.75" thickBot="1" x14ac:dyDescent="0.25">
      <c r="A91" s="247" t="s">
        <v>243</v>
      </c>
      <c r="D91" s="115"/>
      <c r="E91" s="212" t="s">
        <v>27</v>
      </c>
    </row>
    <row r="92" spans="1:9" ht="14.25" thickTop="1" thickBot="1" x14ac:dyDescent="0.25">
      <c r="A92" s="213" t="s">
        <v>14</v>
      </c>
      <c r="B92" s="214" t="s">
        <v>0</v>
      </c>
      <c r="C92" s="215" t="s">
        <v>1</v>
      </c>
      <c r="D92" s="216" t="s">
        <v>13</v>
      </c>
      <c r="E92" s="217" t="s">
        <v>15</v>
      </c>
    </row>
    <row r="93" spans="1:9" ht="15.75" thickTop="1" x14ac:dyDescent="0.2">
      <c r="A93" s="218" t="s">
        <v>16</v>
      </c>
      <c r="B93" s="219">
        <f>SUM(B94:B103)</f>
        <v>0</v>
      </c>
      <c r="C93" s="219">
        <f>SUM(C94:C103)</f>
        <v>5537000</v>
      </c>
      <c r="D93" s="219">
        <f>SUM(D94:D103)</f>
        <v>5537000</v>
      </c>
      <c r="E93" s="248">
        <f>D93/C93*100</f>
        <v>100</v>
      </c>
      <c r="F93" s="209"/>
    </row>
    <row r="94" spans="1:9" s="250" customFormat="1" x14ac:dyDescent="0.2">
      <c r="A94" s="149" t="s">
        <v>374</v>
      </c>
      <c r="B94" s="150">
        <v>0</v>
      </c>
      <c r="C94" s="150">
        <v>300000</v>
      </c>
      <c r="D94" s="150">
        <v>300000</v>
      </c>
      <c r="E94" s="224"/>
      <c r="F94" s="355">
        <v>1104</v>
      </c>
      <c r="G94" s="249"/>
      <c r="H94" s="249"/>
    </row>
    <row r="95" spans="1:9" s="288" customFormat="1" x14ac:dyDescent="0.2">
      <c r="A95" s="382" t="s">
        <v>542</v>
      </c>
      <c r="B95" s="279">
        <v>0</v>
      </c>
      <c r="C95" s="279">
        <v>390000</v>
      </c>
      <c r="D95" s="279">
        <v>390000</v>
      </c>
      <c r="E95" s="224"/>
      <c r="F95" s="381">
        <v>1140</v>
      </c>
      <c r="G95" s="287"/>
      <c r="H95" s="287"/>
    </row>
    <row r="96" spans="1:9" s="250" customFormat="1" x14ac:dyDescent="0.2">
      <c r="A96" s="149" t="s">
        <v>543</v>
      </c>
      <c r="B96" s="150">
        <v>0</v>
      </c>
      <c r="C96" s="150">
        <v>250000</v>
      </c>
      <c r="D96" s="150">
        <v>250000</v>
      </c>
      <c r="E96" s="224"/>
      <c r="F96" s="355">
        <v>1151</v>
      </c>
      <c r="G96" s="249"/>
      <c r="H96" s="249"/>
    </row>
    <row r="97" spans="1:8" s="288" customFormat="1" ht="25.5" x14ac:dyDescent="0.2">
      <c r="A97" s="231" t="s">
        <v>544</v>
      </c>
      <c r="B97" s="279">
        <v>0</v>
      </c>
      <c r="C97" s="279">
        <v>570000</v>
      </c>
      <c r="D97" s="279">
        <v>570000</v>
      </c>
      <c r="E97" s="224"/>
      <c r="F97" s="381">
        <v>1160</v>
      </c>
      <c r="G97" s="287"/>
      <c r="H97" s="287"/>
    </row>
    <row r="98" spans="1:8" s="250" customFormat="1" x14ac:dyDescent="0.2">
      <c r="A98" s="149" t="s">
        <v>545</v>
      </c>
      <c r="B98" s="150">
        <v>0</v>
      </c>
      <c r="C98" s="150">
        <v>400000</v>
      </c>
      <c r="D98" s="150">
        <v>400000</v>
      </c>
      <c r="E98" s="224"/>
      <c r="F98" s="355">
        <v>1163</v>
      </c>
      <c r="G98" s="249"/>
      <c r="H98" s="249"/>
    </row>
    <row r="99" spans="1:8" s="250" customFormat="1" x14ac:dyDescent="0.2">
      <c r="A99" s="149" t="s">
        <v>374</v>
      </c>
      <c r="B99" s="150">
        <v>0</v>
      </c>
      <c r="C99" s="150">
        <v>350000</v>
      </c>
      <c r="D99" s="150">
        <v>350000</v>
      </c>
      <c r="E99" s="224"/>
      <c r="F99" s="355">
        <v>1104</v>
      </c>
      <c r="G99" s="249"/>
      <c r="H99" s="249"/>
    </row>
    <row r="100" spans="1:8" s="250" customFormat="1" x14ac:dyDescent="0.2">
      <c r="A100" s="149" t="s">
        <v>244</v>
      </c>
      <c r="B100" s="150">
        <v>0</v>
      </c>
      <c r="C100" s="150">
        <v>400000</v>
      </c>
      <c r="D100" s="150">
        <v>400000</v>
      </c>
      <c r="E100" s="224"/>
      <c r="F100" s="355">
        <v>1216</v>
      </c>
      <c r="G100" s="249"/>
      <c r="H100" s="249"/>
    </row>
    <row r="101" spans="1:8" s="250" customFormat="1" x14ac:dyDescent="0.2">
      <c r="A101" s="149" t="s">
        <v>375</v>
      </c>
      <c r="B101" s="150">
        <v>0</v>
      </c>
      <c r="C101" s="150">
        <v>38000</v>
      </c>
      <c r="D101" s="150">
        <v>38000</v>
      </c>
      <c r="E101" s="224"/>
      <c r="F101" s="355">
        <v>1223</v>
      </c>
      <c r="G101" s="249"/>
      <c r="H101" s="249"/>
    </row>
    <row r="102" spans="1:8" s="250" customFormat="1" x14ac:dyDescent="0.2">
      <c r="A102" s="154" t="s">
        <v>376</v>
      </c>
      <c r="B102" s="150">
        <v>0</v>
      </c>
      <c r="C102" s="150">
        <v>800000</v>
      </c>
      <c r="D102" s="150">
        <v>800000</v>
      </c>
      <c r="E102" s="224"/>
      <c r="F102" s="355">
        <v>1226</v>
      </c>
      <c r="G102" s="249"/>
      <c r="H102" s="249"/>
    </row>
    <row r="103" spans="1:8" s="250" customFormat="1" ht="13.5" thickBot="1" x14ac:dyDescent="0.25">
      <c r="A103" s="251" t="s">
        <v>585</v>
      </c>
      <c r="B103" s="252">
        <v>0</v>
      </c>
      <c r="C103" s="252">
        <v>2039000</v>
      </c>
      <c r="D103" s="252">
        <v>2039000</v>
      </c>
      <c r="E103" s="240"/>
      <c r="F103" s="355">
        <v>1123</v>
      </c>
      <c r="G103" s="249" t="s">
        <v>586</v>
      </c>
      <c r="H103" s="249"/>
    </row>
    <row r="104" spans="1:8" ht="13.5" thickTop="1" x14ac:dyDescent="0.2">
      <c r="A104" s="253"/>
      <c r="B104" s="241"/>
      <c r="C104" s="245"/>
      <c r="D104" s="229"/>
      <c r="E104" s="242"/>
      <c r="F104" s="209"/>
    </row>
    <row r="105" spans="1:8" s="137" customFormat="1" ht="18.75" thickBot="1" x14ac:dyDescent="0.3">
      <c r="A105" s="254" t="s">
        <v>191</v>
      </c>
      <c r="B105" s="255">
        <f>SUM(B93,B7)</f>
        <v>118391000</v>
      </c>
      <c r="C105" s="255">
        <f t="shared" ref="C105:D105" si="2">SUM(C93,C7)</f>
        <v>54337857.880000003</v>
      </c>
      <c r="D105" s="255">
        <f t="shared" si="2"/>
        <v>45635375.089999996</v>
      </c>
      <c r="E105" s="256">
        <f>D105/C105*100</f>
        <v>83.9844941822723</v>
      </c>
      <c r="F105" s="425"/>
      <c r="G105" s="257"/>
      <c r="H105" s="257"/>
    </row>
    <row r="106" spans="1:8" ht="13.5" thickTop="1" x14ac:dyDescent="0.2">
      <c r="A106" s="253"/>
      <c r="B106" s="241"/>
      <c r="C106" s="245"/>
      <c r="D106" s="229"/>
      <c r="E106" s="242"/>
      <c r="F106" s="209"/>
    </row>
    <row r="107" spans="1:8" x14ac:dyDescent="0.2">
      <c r="A107" s="253"/>
      <c r="B107" s="241"/>
      <c r="C107" s="245"/>
      <c r="D107" s="229"/>
      <c r="E107" s="242"/>
      <c r="F107" s="209"/>
    </row>
    <row r="108" spans="1:8" ht="18" x14ac:dyDescent="0.25">
      <c r="A108" s="208" t="s">
        <v>225</v>
      </c>
    </row>
    <row r="109" spans="1:8" ht="15" customHeight="1" thickBot="1" x14ac:dyDescent="0.3">
      <c r="A109" s="211" t="s">
        <v>183</v>
      </c>
      <c r="E109" s="212" t="s">
        <v>27</v>
      </c>
    </row>
    <row r="110" spans="1:8" ht="14.25" thickTop="1" thickBot="1" x14ac:dyDescent="0.25">
      <c r="A110" s="213" t="s">
        <v>14</v>
      </c>
      <c r="B110" s="214" t="s">
        <v>0</v>
      </c>
      <c r="C110" s="215" t="s">
        <v>1</v>
      </c>
      <c r="D110" s="216" t="s">
        <v>13</v>
      </c>
      <c r="E110" s="217" t="s">
        <v>15</v>
      </c>
    </row>
    <row r="111" spans="1:8" ht="15.75" thickTop="1" x14ac:dyDescent="0.25">
      <c r="A111" s="218" t="s">
        <v>18</v>
      </c>
      <c r="B111" s="219">
        <f>SUM(B112:B164)</f>
        <v>103674000</v>
      </c>
      <c r="C111" s="219">
        <f>SUM(C112:C164)</f>
        <v>28725832.32</v>
      </c>
      <c r="D111" s="219">
        <f>SUM(D112:D164)</f>
        <v>16036056.52</v>
      </c>
      <c r="E111" s="220">
        <f>D111/C111*100</f>
        <v>55.824514817748536</v>
      </c>
      <c r="F111" s="356"/>
    </row>
    <row r="112" spans="1:8" s="207" customFormat="1" x14ac:dyDescent="0.2">
      <c r="A112" s="230" t="s">
        <v>134</v>
      </c>
      <c r="B112" s="286">
        <v>0</v>
      </c>
      <c r="C112" s="223">
        <v>1767000</v>
      </c>
      <c r="D112" s="236">
        <v>1720904.1</v>
      </c>
      <c r="E112" s="224">
        <f>D112/C112*100</f>
        <v>97.391290322580645</v>
      </c>
      <c r="F112" s="375" t="s">
        <v>440</v>
      </c>
      <c r="G112" s="202"/>
      <c r="H112" s="202"/>
    </row>
    <row r="113" spans="1:8" s="207" customFormat="1" x14ac:dyDescent="0.2">
      <c r="A113" s="230" t="s">
        <v>245</v>
      </c>
      <c r="B113" s="286">
        <v>1800000</v>
      </c>
      <c r="C113" s="223">
        <v>0</v>
      </c>
      <c r="D113" s="236">
        <v>0</v>
      </c>
      <c r="E113" s="224">
        <v>0</v>
      </c>
      <c r="F113" s="375" t="s">
        <v>246</v>
      </c>
      <c r="G113" s="202"/>
      <c r="H113" s="202"/>
    </row>
    <row r="114" spans="1:8" s="207" customFormat="1" x14ac:dyDescent="0.2">
      <c r="A114" s="186" t="s">
        <v>247</v>
      </c>
      <c r="B114" s="286">
        <v>6072000</v>
      </c>
      <c r="C114" s="223">
        <v>0</v>
      </c>
      <c r="D114" s="236">
        <v>0</v>
      </c>
      <c r="E114" s="224">
        <v>0</v>
      </c>
      <c r="F114" s="375" t="s">
        <v>248</v>
      </c>
      <c r="G114" s="202"/>
      <c r="H114" s="202"/>
    </row>
    <row r="115" spans="1:8" s="207" customFormat="1" x14ac:dyDescent="0.2">
      <c r="A115" s="186" t="s">
        <v>249</v>
      </c>
      <c r="B115" s="286">
        <v>1847000</v>
      </c>
      <c r="C115" s="223">
        <v>0</v>
      </c>
      <c r="D115" s="236">
        <v>0</v>
      </c>
      <c r="E115" s="224">
        <v>0</v>
      </c>
      <c r="F115" s="375" t="s">
        <v>250</v>
      </c>
      <c r="G115" s="202"/>
      <c r="H115" s="202"/>
    </row>
    <row r="116" spans="1:8" s="207" customFormat="1" x14ac:dyDescent="0.2">
      <c r="A116" s="230" t="s">
        <v>251</v>
      </c>
      <c r="B116" s="286">
        <v>1116000</v>
      </c>
      <c r="C116" s="223">
        <v>0</v>
      </c>
      <c r="D116" s="236">
        <v>0</v>
      </c>
      <c r="E116" s="224">
        <v>0</v>
      </c>
      <c r="F116" s="375" t="s">
        <v>252</v>
      </c>
      <c r="G116" s="202"/>
      <c r="H116" s="202"/>
    </row>
    <row r="117" spans="1:8" s="207" customFormat="1" x14ac:dyDescent="0.2">
      <c r="A117" s="230" t="s">
        <v>137</v>
      </c>
      <c r="B117" s="286">
        <v>0</v>
      </c>
      <c r="C117" s="223">
        <v>1347000</v>
      </c>
      <c r="D117" s="236">
        <v>1218854.92</v>
      </c>
      <c r="E117" s="224">
        <v>0</v>
      </c>
      <c r="F117" s="375" t="s">
        <v>253</v>
      </c>
      <c r="G117" s="202"/>
      <c r="H117" s="202"/>
    </row>
    <row r="118" spans="1:8" s="207" customFormat="1" x14ac:dyDescent="0.2">
      <c r="A118" s="230" t="s">
        <v>254</v>
      </c>
      <c r="B118" s="286">
        <v>9402000</v>
      </c>
      <c r="C118" s="223">
        <v>0</v>
      </c>
      <c r="D118" s="236">
        <v>0</v>
      </c>
      <c r="E118" s="224">
        <v>0</v>
      </c>
      <c r="F118" s="375" t="s">
        <v>255</v>
      </c>
      <c r="G118" s="202"/>
      <c r="H118" s="202"/>
    </row>
    <row r="119" spans="1:8" s="207" customFormat="1" x14ac:dyDescent="0.2">
      <c r="A119" s="230" t="s">
        <v>256</v>
      </c>
      <c r="B119" s="286">
        <v>200000</v>
      </c>
      <c r="C119" s="223">
        <v>0</v>
      </c>
      <c r="D119" s="236">
        <v>0</v>
      </c>
      <c r="E119" s="224">
        <v>0</v>
      </c>
      <c r="F119" s="376" t="s">
        <v>257</v>
      </c>
      <c r="G119" s="202"/>
      <c r="H119" s="202"/>
    </row>
    <row r="120" spans="1:8" s="207" customFormat="1" x14ac:dyDescent="0.2">
      <c r="A120" s="154" t="s">
        <v>258</v>
      </c>
      <c r="B120" s="286">
        <v>142000</v>
      </c>
      <c r="C120" s="223">
        <v>261560</v>
      </c>
      <c r="D120" s="236">
        <v>261560</v>
      </c>
      <c r="E120" s="224">
        <f>D120/C120*100</f>
        <v>100</v>
      </c>
      <c r="F120" s="375" t="s">
        <v>259</v>
      </c>
      <c r="G120" s="202"/>
      <c r="H120" s="202"/>
    </row>
    <row r="121" spans="1:8" s="207" customFormat="1" x14ac:dyDescent="0.2">
      <c r="A121" s="154" t="s">
        <v>260</v>
      </c>
      <c r="B121" s="286">
        <v>0</v>
      </c>
      <c r="C121" s="223">
        <v>138583.5</v>
      </c>
      <c r="D121" s="236">
        <v>138583.5</v>
      </c>
      <c r="E121" s="224">
        <f>D121/C121*100</f>
        <v>100</v>
      </c>
      <c r="F121" s="375" t="s">
        <v>261</v>
      </c>
      <c r="G121" s="202"/>
      <c r="H121" s="202"/>
    </row>
    <row r="122" spans="1:8" s="207" customFormat="1" x14ac:dyDescent="0.2">
      <c r="A122" s="154" t="s">
        <v>262</v>
      </c>
      <c r="B122" s="286">
        <v>8382000</v>
      </c>
      <c r="C122" s="223">
        <v>0</v>
      </c>
      <c r="D122" s="236">
        <v>0</v>
      </c>
      <c r="E122" s="224">
        <v>0</v>
      </c>
      <c r="F122" s="375" t="s">
        <v>263</v>
      </c>
      <c r="G122" s="202"/>
      <c r="H122" s="202"/>
    </row>
    <row r="123" spans="1:8" s="207" customFormat="1" x14ac:dyDescent="0.2">
      <c r="A123" s="154" t="s">
        <v>264</v>
      </c>
      <c r="B123" s="286">
        <v>2492000</v>
      </c>
      <c r="C123" s="223">
        <v>117977.92</v>
      </c>
      <c r="D123" s="236">
        <v>3350</v>
      </c>
      <c r="E123" s="224">
        <f>D123/C123*100</f>
        <v>2.8395143769274793</v>
      </c>
      <c r="F123" s="375" t="s">
        <v>265</v>
      </c>
      <c r="G123" s="202"/>
      <c r="H123" s="202"/>
    </row>
    <row r="124" spans="1:8" s="207" customFormat="1" x14ac:dyDescent="0.2">
      <c r="A124" s="154" t="s">
        <v>266</v>
      </c>
      <c r="B124" s="286">
        <v>800000</v>
      </c>
      <c r="C124" s="223">
        <v>0</v>
      </c>
      <c r="D124" s="236">
        <v>0</v>
      </c>
      <c r="E124" s="224">
        <v>0</v>
      </c>
      <c r="F124" s="375" t="s">
        <v>267</v>
      </c>
      <c r="G124" s="202"/>
      <c r="H124" s="202"/>
    </row>
    <row r="125" spans="1:8" s="207" customFormat="1" x14ac:dyDescent="0.2">
      <c r="A125" s="154" t="s">
        <v>268</v>
      </c>
      <c r="B125" s="286">
        <v>2400000</v>
      </c>
      <c r="C125" s="223">
        <v>0</v>
      </c>
      <c r="D125" s="236">
        <v>0</v>
      </c>
      <c r="E125" s="224">
        <v>0</v>
      </c>
      <c r="F125" s="375" t="s">
        <v>269</v>
      </c>
      <c r="G125" s="202"/>
      <c r="H125" s="202"/>
    </row>
    <row r="126" spans="1:8" s="207" customFormat="1" x14ac:dyDescent="0.2">
      <c r="A126" s="233" t="s">
        <v>289</v>
      </c>
      <c r="B126" s="286">
        <v>0</v>
      </c>
      <c r="C126" s="223">
        <v>880000</v>
      </c>
      <c r="D126" s="236">
        <v>386026</v>
      </c>
      <c r="E126" s="224">
        <f t="shared" ref="E126:E131" si="3">D126/C126*100</f>
        <v>43.86659090909091</v>
      </c>
      <c r="F126" s="375" t="s">
        <v>290</v>
      </c>
      <c r="G126" s="202"/>
      <c r="H126" s="202"/>
    </row>
    <row r="127" spans="1:8" s="207" customFormat="1" x14ac:dyDescent="0.2">
      <c r="A127" s="262" t="s">
        <v>270</v>
      </c>
      <c r="B127" s="286">
        <v>4200000</v>
      </c>
      <c r="C127" s="223">
        <v>0</v>
      </c>
      <c r="D127" s="236">
        <v>0</v>
      </c>
      <c r="E127" s="224">
        <v>0</v>
      </c>
      <c r="F127" s="375" t="s">
        <v>271</v>
      </c>
      <c r="G127" s="202"/>
      <c r="H127" s="202"/>
    </row>
    <row r="128" spans="1:8" s="207" customFormat="1" x14ac:dyDescent="0.2">
      <c r="A128" s="262" t="s">
        <v>272</v>
      </c>
      <c r="B128" s="286">
        <v>1757000</v>
      </c>
      <c r="C128" s="223">
        <v>0</v>
      </c>
      <c r="D128" s="236">
        <v>0</v>
      </c>
      <c r="E128" s="224">
        <v>0</v>
      </c>
      <c r="F128" s="375" t="s">
        <v>273</v>
      </c>
      <c r="G128" s="202"/>
      <c r="H128" s="202"/>
    </row>
    <row r="129" spans="1:8" s="207" customFormat="1" x14ac:dyDescent="0.2">
      <c r="A129" s="263" t="s">
        <v>274</v>
      </c>
      <c r="B129" s="286">
        <v>14600000</v>
      </c>
      <c r="C129" s="223">
        <v>388349</v>
      </c>
      <c r="D129" s="236">
        <v>388349</v>
      </c>
      <c r="E129" s="224">
        <f t="shared" si="3"/>
        <v>100</v>
      </c>
      <c r="F129" s="375" t="s">
        <v>275</v>
      </c>
      <c r="G129" s="202"/>
      <c r="H129" s="202"/>
    </row>
    <row r="130" spans="1:8" s="207" customFormat="1" x14ac:dyDescent="0.2">
      <c r="A130" s="264" t="s">
        <v>276</v>
      </c>
      <c r="B130" s="286">
        <v>420000</v>
      </c>
      <c r="C130" s="223">
        <v>420000</v>
      </c>
      <c r="D130" s="236">
        <v>414000</v>
      </c>
      <c r="E130" s="224">
        <f t="shared" si="3"/>
        <v>98.571428571428584</v>
      </c>
      <c r="F130" s="375" t="s">
        <v>277</v>
      </c>
      <c r="G130" s="202"/>
      <c r="H130" s="202"/>
    </row>
    <row r="131" spans="1:8" s="362" customFormat="1" ht="25.5" x14ac:dyDescent="0.2">
      <c r="A131" s="227" t="s">
        <v>278</v>
      </c>
      <c r="B131" s="286">
        <v>660000</v>
      </c>
      <c r="C131" s="223">
        <v>660000</v>
      </c>
      <c r="D131" s="236">
        <v>594000</v>
      </c>
      <c r="E131" s="224">
        <f t="shared" si="3"/>
        <v>90</v>
      </c>
      <c r="F131" s="377" t="s">
        <v>279</v>
      </c>
      <c r="G131" s="361"/>
      <c r="H131" s="361"/>
    </row>
    <row r="132" spans="1:8" s="207" customFormat="1" x14ac:dyDescent="0.2">
      <c r="A132" s="262" t="s">
        <v>280</v>
      </c>
      <c r="B132" s="286">
        <v>260000</v>
      </c>
      <c r="C132" s="223">
        <v>414800</v>
      </c>
      <c r="D132" s="236">
        <v>331200</v>
      </c>
      <c r="E132" s="224">
        <v>0</v>
      </c>
      <c r="F132" s="375" t="s">
        <v>281</v>
      </c>
      <c r="G132" s="202"/>
      <c r="H132" s="202"/>
    </row>
    <row r="133" spans="1:8" s="207" customFormat="1" x14ac:dyDescent="0.2">
      <c r="A133" s="262" t="s">
        <v>282</v>
      </c>
      <c r="B133" s="286">
        <v>0</v>
      </c>
      <c r="C133" s="223">
        <v>2642835.9</v>
      </c>
      <c r="D133" s="236">
        <v>2192128</v>
      </c>
      <c r="E133" s="224">
        <f>D133/C133*100</f>
        <v>82.946050490686915</v>
      </c>
      <c r="F133" s="375" t="s">
        <v>283</v>
      </c>
      <c r="G133" s="202"/>
      <c r="H133" s="202"/>
    </row>
    <row r="134" spans="1:8" s="207" customFormat="1" x14ac:dyDescent="0.2">
      <c r="A134" s="265" t="s">
        <v>284</v>
      </c>
      <c r="B134" s="286">
        <v>4520000</v>
      </c>
      <c r="C134" s="223">
        <v>0</v>
      </c>
      <c r="D134" s="236">
        <v>0</v>
      </c>
      <c r="E134" s="224">
        <v>0</v>
      </c>
      <c r="F134" s="375" t="s">
        <v>285</v>
      </c>
      <c r="G134" s="202"/>
      <c r="H134" s="202"/>
    </row>
    <row r="135" spans="1:8" s="207" customFormat="1" x14ac:dyDescent="0.2">
      <c r="A135" s="265" t="s">
        <v>286</v>
      </c>
      <c r="B135" s="286">
        <v>12800000</v>
      </c>
      <c r="C135" s="223">
        <v>892000</v>
      </c>
      <c r="D135" s="236">
        <v>258000</v>
      </c>
      <c r="E135" s="224">
        <f>D135/C135*100</f>
        <v>28.923766816143498</v>
      </c>
      <c r="F135" s="375" t="s">
        <v>287</v>
      </c>
      <c r="G135" s="202"/>
      <c r="H135" s="202"/>
    </row>
    <row r="136" spans="1:8" s="207" customFormat="1" x14ac:dyDescent="0.2">
      <c r="A136" s="263" t="s">
        <v>136</v>
      </c>
      <c r="B136" s="286">
        <v>897000</v>
      </c>
      <c r="C136" s="223">
        <v>0</v>
      </c>
      <c r="D136" s="236">
        <v>0</v>
      </c>
      <c r="E136" s="224">
        <v>0</v>
      </c>
      <c r="F136" s="375" t="s">
        <v>288</v>
      </c>
      <c r="G136" s="202"/>
      <c r="H136" s="202"/>
    </row>
    <row r="137" spans="1:8" s="207" customFormat="1" x14ac:dyDescent="0.2">
      <c r="A137" s="154" t="s">
        <v>429</v>
      </c>
      <c r="B137" s="286">
        <v>430000</v>
      </c>
      <c r="C137" s="223">
        <v>597417</v>
      </c>
      <c r="D137" s="236">
        <v>566117</v>
      </c>
      <c r="E137" s="224">
        <f>D137/C137*100</f>
        <v>94.760778484710002</v>
      </c>
      <c r="F137" s="375" t="s">
        <v>419</v>
      </c>
      <c r="G137" s="202"/>
      <c r="H137" s="202"/>
    </row>
    <row r="138" spans="1:8" s="207" customFormat="1" x14ac:dyDescent="0.2">
      <c r="A138" s="154" t="s">
        <v>430</v>
      </c>
      <c r="B138" s="286">
        <v>580000</v>
      </c>
      <c r="C138" s="223">
        <v>800000</v>
      </c>
      <c r="D138" s="236">
        <v>280173</v>
      </c>
      <c r="E138" s="224">
        <v>0</v>
      </c>
      <c r="F138" s="375" t="s">
        <v>420</v>
      </c>
      <c r="G138" s="202"/>
      <c r="H138" s="202"/>
    </row>
    <row r="139" spans="1:8" s="207" customFormat="1" x14ac:dyDescent="0.2">
      <c r="A139" s="154" t="s">
        <v>431</v>
      </c>
      <c r="B139" s="286">
        <v>1200000</v>
      </c>
      <c r="C139" s="223">
        <v>1128161</v>
      </c>
      <c r="D139" s="236">
        <v>1128161</v>
      </c>
      <c r="E139" s="224">
        <f>D139/C139*100</f>
        <v>100</v>
      </c>
      <c r="F139" s="375" t="s">
        <v>421</v>
      </c>
      <c r="G139" s="202"/>
      <c r="H139" s="202"/>
    </row>
    <row r="140" spans="1:8" s="207" customFormat="1" x14ac:dyDescent="0.2">
      <c r="A140" s="154" t="s">
        <v>432</v>
      </c>
      <c r="B140" s="286">
        <v>1757000</v>
      </c>
      <c r="C140" s="223">
        <v>0</v>
      </c>
      <c r="D140" s="236">
        <v>0</v>
      </c>
      <c r="E140" s="224">
        <v>0</v>
      </c>
      <c r="F140" s="375" t="s">
        <v>422</v>
      </c>
      <c r="G140" s="202"/>
      <c r="H140" s="202"/>
    </row>
    <row r="141" spans="1:8" s="207" customFormat="1" x14ac:dyDescent="0.2">
      <c r="A141" s="154" t="s">
        <v>435</v>
      </c>
      <c r="B141" s="286">
        <v>0</v>
      </c>
      <c r="C141" s="223">
        <v>98000</v>
      </c>
      <c r="D141" s="236">
        <v>94800</v>
      </c>
      <c r="E141" s="224">
        <f>D141/C141*100</f>
        <v>96.734693877551024</v>
      </c>
      <c r="F141" s="375" t="s">
        <v>424</v>
      </c>
      <c r="G141" s="202"/>
      <c r="H141" s="202"/>
    </row>
    <row r="142" spans="1:8" s="161" customFormat="1" x14ac:dyDescent="0.2">
      <c r="A142" s="154" t="s">
        <v>434</v>
      </c>
      <c r="B142" s="228">
        <v>0</v>
      </c>
      <c r="C142" s="229">
        <v>64800</v>
      </c>
      <c r="D142" s="232">
        <v>64800</v>
      </c>
      <c r="E142" s="224">
        <v>0</v>
      </c>
      <c r="F142" s="376" t="s">
        <v>425</v>
      </c>
      <c r="G142" s="210"/>
      <c r="H142" s="210"/>
    </row>
    <row r="143" spans="1:8" s="161" customFormat="1" x14ac:dyDescent="0.2">
      <c r="A143" s="154" t="s">
        <v>436</v>
      </c>
      <c r="B143" s="228">
        <v>0</v>
      </c>
      <c r="C143" s="223">
        <v>450000</v>
      </c>
      <c r="D143" s="236">
        <v>247008</v>
      </c>
      <c r="E143" s="224">
        <f>D143/C143*100</f>
        <v>54.890666666666668</v>
      </c>
      <c r="F143" s="375" t="s">
        <v>426</v>
      </c>
      <c r="G143" s="210"/>
      <c r="H143" s="210"/>
    </row>
    <row r="144" spans="1:8" s="207" customFormat="1" ht="13.5" thickBot="1" x14ac:dyDescent="0.25">
      <c r="A144" s="251" t="s">
        <v>433</v>
      </c>
      <c r="B144" s="426">
        <v>11667000</v>
      </c>
      <c r="C144" s="259">
        <v>0</v>
      </c>
      <c r="D144" s="260">
        <v>0</v>
      </c>
      <c r="E144" s="240">
        <v>0</v>
      </c>
      <c r="F144" s="376" t="s">
        <v>423</v>
      </c>
      <c r="G144" s="202"/>
      <c r="H144" s="202"/>
    </row>
    <row r="145" spans="1:8" s="244" customFormat="1" ht="16.5" thickTop="1" thickBot="1" x14ac:dyDescent="0.3">
      <c r="A145" s="211"/>
      <c r="B145" s="117"/>
      <c r="C145" s="117"/>
      <c r="D145" s="115"/>
      <c r="E145" s="212" t="s">
        <v>27</v>
      </c>
      <c r="F145" s="363"/>
      <c r="G145" s="243"/>
      <c r="H145" s="243"/>
    </row>
    <row r="146" spans="1:8" s="244" customFormat="1" ht="14.25" thickTop="1" thickBot="1" x14ac:dyDescent="0.25">
      <c r="A146" s="213" t="s">
        <v>14</v>
      </c>
      <c r="B146" s="214" t="s">
        <v>0</v>
      </c>
      <c r="C146" s="215" t="s">
        <v>1</v>
      </c>
      <c r="D146" s="216" t="s">
        <v>13</v>
      </c>
      <c r="E146" s="217" t="s">
        <v>15</v>
      </c>
      <c r="F146" s="363"/>
      <c r="G146" s="243"/>
      <c r="H146" s="243"/>
    </row>
    <row r="147" spans="1:8" s="161" customFormat="1" ht="13.5" thickTop="1" x14ac:dyDescent="0.2">
      <c r="A147" s="154" t="s">
        <v>437</v>
      </c>
      <c r="B147" s="228">
        <v>0</v>
      </c>
      <c r="C147" s="223">
        <v>149160</v>
      </c>
      <c r="D147" s="236">
        <v>149160</v>
      </c>
      <c r="E147" s="224">
        <f>D147/C147*100</f>
        <v>100</v>
      </c>
      <c r="F147" s="375" t="s">
        <v>427</v>
      </c>
      <c r="G147" s="210"/>
      <c r="H147" s="210"/>
    </row>
    <row r="148" spans="1:8" s="161" customFormat="1" x14ac:dyDescent="0.2">
      <c r="A148" s="154" t="s">
        <v>438</v>
      </c>
      <c r="B148" s="228">
        <v>0</v>
      </c>
      <c r="C148" s="223">
        <v>100000</v>
      </c>
      <c r="D148" s="236">
        <v>0</v>
      </c>
      <c r="E148" s="224">
        <f>D148/C148*100</f>
        <v>0</v>
      </c>
      <c r="F148" s="375" t="s">
        <v>428</v>
      </c>
      <c r="G148" s="210"/>
      <c r="H148" s="210"/>
    </row>
    <row r="149" spans="1:8" s="161" customFormat="1" x14ac:dyDescent="0.2">
      <c r="A149" s="154" t="s">
        <v>605</v>
      </c>
      <c r="B149" s="228">
        <v>3473000</v>
      </c>
      <c r="C149" s="223">
        <v>3472000</v>
      </c>
      <c r="D149" s="236">
        <v>0</v>
      </c>
      <c r="E149" s="224">
        <f>D149/C149*100</f>
        <v>0</v>
      </c>
      <c r="F149" s="375" t="s">
        <v>600</v>
      </c>
      <c r="G149" s="210" t="s">
        <v>603</v>
      </c>
      <c r="H149" s="210"/>
    </row>
    <row r="150" spans="1:8" s="161" customFormat="1" x14ac:dyDescent="0.2">
      <c r="A150" s="154" t="s">
        <v>606</v>
      </c>
      <c r="B150" s="228">
        <v>6000000</v>
      </c>
      <c r="C150" s="223">
        <v>0</v>
      </c>
      <c r="D150" s="236">
        <v>0</v>
      </c>
      <c r="E150" s="224">
        <v>0</v>
      </c>
      <c r="F150" s="375" t="s">
        <v>601</v>
      </c>
      <c r="G150" s="210" t="s">
        <v>603</v>
      </c>
      <c r="H150" s="210"/>
    </row>
    <row r="151" spans="1:8" s="161" customFormat="1" x14ac:dyDescent="0.2">
      <c r="A151" s="154" t="s">
        <v>607</v>
      </c>
      <c r="B151" s="228">
        <v>900000</v>
      </c>
      <c r="C151" s="223">
        <v>0</v>
      </c>
      <c r="D151" s="236">
        <v>0</v>
      </c>
      <c r="E151" s="224">
        <v>0</v>
      </c>
      <c r="F151" s="375" t="s">
        <v>602</v>
      </c>
      <c r="G151" s="210" t="s">
        <v>603</v>
      </c>
      <c r="H151" s="210"/>
    </row>
    <row r="152" spans="1:8" s="161" customFormat="1" x14ac:dyDescent="0.2">
      <c r="A152" s="154" t="s">
        <v>608</v>
      </c>
      <c r="B152" s="228">
        <v>900000</v>
      </c>
      <c r="C152" s="223">
        <v>0</v>
      </c>
      <c r="D152" s="236">
        <v>0</v>
      </c>
      <c r="E152" s="224">
        <v>0</v>
      </c>
      <c r="F152" s="375" t="s">
        <v>604</v>
      </c>
      <c r="G152" s="210" t="s">
        <v>603</v>
      </c>
      <c r="H152" s="210"/>
    </row>
    <row r="153" spans="1:8" s="161" customFormat="1" x14ac:dyDescent="0.2">
      <c r="A153" s="154" t="s">
        <v>133</v>
      </c>
      <c r="B153" s="228">
        <v>0</v>
      </c>
      <c r="C153" s="223">
        <v>810000</v>
      </c>
      <c r="D153" s="236">
        <v>661684</v>
      </c>
      <c r="E153" s="224">
        <f>D153/C153*100</f>
        <v>81.68938271604938</v>
      </c>
      <c r="F153" s="375" t="s">
        <v>626</v>
      </c>
      <c r="G153" s="210" t="s">
        <v>612</v>
      </c>
      <c r="H153" s="210"/>
    </row>
    <row r="154" spans="1:8" s="161" customFormat="1" x14ac:dyDescent="0.2">
      <c r="A154" s="154" t="s">
        <v>606</v>
      </c>
      <c r="B154" s="228">
        <v>0</v>
      </c>
      <c r="C154" s="223">
        <v>325188</v>
      </c>
      <c r="D154" s="236">
        <v>0</v>
      </c>
      <c r="E154" s="224">
        <f t="shared" ref="E154:E163" si="4">D154/C154*100</f>
        <v>0</v>
      </c>
      <c r="F154" s="375" t="s">
        <v>601</v>
      </c>
      <c r="G154" s="210" t="s">
        <v>612</v>
      </c>
      <c r="H154" s="210"/>
    </row>
    <row r="155" spans="1:8" s="161" customFormat="1" ht="25.5" x14ac:dyDescent="0.2">
      <c r="A155" s="261" t="s">
        <v>661</v>
      </c>
      <c r="B155" s="228">
        <v>0</v>
      </c>
      <c r="C155" s="223">
        <v>2000000</v>
      </c>
      <c r="D155" s="236">
        <v>1712047</v>
      </c>
      <c r="E155" s="224">
        <f t="shared" si="4"/>
        <v>85.602350000000001</v>
      </c>
      <c r="F155" s="375" t="s">
        <v>627</v>
      </c>
      <c r="G155" s="210" t="s">
        <v>612</v>
      </c>
      <c r="H155" s="210"/>
    </row>
    <row r="156" spans="1:8" s="161" customFormat="1" x14ac:dyDescent="0.2">
      <c r="A156" s="154" t="s">
        <v>662</v>
      </c>
      <c r="B156" s="228">
        <v>0</v>
      </c>
      <c r="C156" s="223">
        <v>1555000</v>
      </c>
      <c r="D156" s="236">
        <v>1145736</v>
      </c>
      <c r="E156" s="224">
        <f t="shared" si="4"/>
        <v>73.68077170418006</v>
      </c>
      <c r="F156" s="375" t="s">
        <v>628</v>
      </c>
      <c r="G156" s="210" t="s">
        <v>612</v>
      </c>
      <c r="H156" s="210"/>
    </row>
    <row r="157" spans="1:8" s="161" customFormat="1" x14ac:dyDescent="0.2">
      <c r="A157" s="154" t="s">
        <v>607</v>
      </c>
      <c r="B157" s="228">
        <v>0</v>
      </c>
      <c r="C157" s="223">
        <v>363000</v>
      </c>
      <c r="D157" s="236">
        <v>362400</v>
      </c>
      <c r="E157" s="224">
        <f t="shared" si="4"/>
        <v>99.834710743801651</v>
      </c>
      <c r="F157" s="375" t="s">
        <v>602</v>
      </c>
      <c r="G157" s="210" t="s">
        <v>612</v>
      </c>
      <c r="H157" s="210"/>
    </row>
    <row r="158" spans="1:8" s="161" customFormat="1" x14ac:dyDescent="0.2">
      <c r="A158" s="154" t="s">
        <v>663</v>
      </c>
      <c r="B158" s="228">
        <v>0</v>
      </c>
      <c r="C158" s="223">
        <v>6300000</v>
      </c>
      <c r="D158" s="236">
        <v>1278415</v>
      </c>
      <c r="E158" s="224">
        <f t="shared" si="4"/>
        <v>20.292301587301587</v>
      </c>
      <c r="F158" s="375" t="s">
        <v>629</v>
      </c>
      <c r="G158" s="210" t="s">
        <v>612</v>
      </c>
      <c r="H158" s="210"/>
    </row>
    <row r="159" spans="1:8" s="161" customFormat="1" x14ac:dyDescent="0.2">
      <c r="A159" s="154" t="s">
        <v>664</v>
      </c>
      <c r="B159" s="228">
        <v>0</v>
      </c>
      <c r="C159" s="223">
        <v>50000</v>
      </c>
      <c r="D159" s="236">
        <v>42000</v>
      </c>
      <c r="E159" s="224">
        <f t="shared" si="4"/>
        <v>84</v>
      </c>
      <c r="F159" s="375" t="s">
        <v>630</v>
      </c>
      <c r="G159" s="210" t="s">
        <v>612</v>
      </c>
      <c r="H159" s="210"/>
    </row>
    <row r="160" spans="1:8" s="161" customFormat="1" ht="25.5" x14ac:dyDescent="0.2">
      <c r="A160" s="261" t="s">
        <v>665</v>
      </c>
      <c r="B160" s="228">
        <v>0</v>
      </c>
      <c r="C160" s="223">
        <v>10000</v>
      </c>
      <c r="D160" s="236">
        <v>0</v>
      </c>
      <c r="E160" s="224">
        <f t="shared" si="4"/>
        <v>0</v>
      </c>
      <c r="F160" s="375" t="s">
        <v>631</v>
      </c>
      <c r="G160" s="210" t="s">
        <v>612</v>
      </c>
      <c r="H160" s="210"/>
    </row>
    <row r="161" spans="1:10" s="161" customFormat="1" x14ac:dyDescent="0.2">
      <c r="A161" s="154" t="s">
        <v>608</v>
      </c>
      <c r="B161" s="228">
        <v>0</v>
      </c>
      <c r="C161" s="223">
        <v>228000</v>
      </c>
      <c r="D161" s="236">
        <v>228000</v>
      </c>
      <c r="E161" s="224">
        <f t="shared" si="4"/>
        <v>100</v>
      </c>
      <c r="F161" s="375" t="s">
        <v>604</v>
      </c>
      <c r="G161" s="210" t="s">
        <v>612</v>
      </c>
      <c r="H161" s="210"/>
    </row>
    <row r="162" spans="1:10" s="161" customFormat="1" x14ac:dyDescent="0.2">
      <c r="A162" s="154" t="s">
        <v>666</v>
      </c>
      <c r="B162" s="228">
        <v>0</v>
      </c>
      <c r="C162" s="223">
        <v>125000</v>
      </c>
      <c r="D162" s="236">
        <v>115800</v>
      </c>
      <c r="E162" s="224">
        <f t="shared" si="4"/>
        <v>92.64</v>
      </c>
      <c r="F162" s="375" t="s">
        <v>632</v>
      </c>
      <c r="G162" s="210" t="s">
        <v>612</v>
      </c>
      <c r="H162" s="210"/>
    </row>
    <row r="163" spans="1:10" s="161" customFormat="1" ht="25.5" x14ac:dyDescent="0.2">
      <c r="A163" s="261" t="s">
        <v>667</v>
      </c>
      <c r="B163" s="228">
        <v>0</v>
      </c>
      <c r="C163" s="223">
        <v>170000</v>
      </c>
      <c r="D163" s="236">
        <v>52800</v>
      </c>
      <c r="E163" s="224">
        <f t="shared" si="4"/>
        <v>31.058823529411768</v>
      </c>
      <c r="F163" s="375" t="s">
        <v>633</v>
      </c>
      <c r="G163" s="210" t="s">
        <v>612</v>
      </c>
      <c r="H163" s="404">
        <f>SUM(C153:C163)</f>
        <v>11936188</v>
      </c>
      <c r="I163" s="404">
        <f>SUM(D153:D163)</f>
        <v>5598882</v>
      </c>
      <c r="J163" s="404"/>
    </row>
    <row r="164" spans="1:10" s="161" customFormat="1" ht="13.5" thickBot="1" x14ac:dyDescent="0.25">
      <c r="A164" s="367" t="s">
        <v>439</v>
      </c>
      <c r="B164" s="258">
        <v>2000000</v>
      </c>
      <c r="C164" s="259">
        <v>0</v>
      </c>
      <c r="D164" s="260">
        <v>0</v>
      </c>
      <c r="E164" s="240">
        <v>0</v>
      </c>
      <c r="F164" s="375"/>
      <c r="G164" s="210"/>
      <c r="H164" s="210"/>
    </row>
    <row r="165" spans="1:10" s="138" customFormat="1" ht="13.5" thickTop="1" x14ac:dyDescent="0.2">
      <c r="E165" s="242"/>
      <c r="F165" s="354"/>
      <c r="G165" s="246"/>
      <c r="H165" s="246"/>
    </row>
    <row r="166" spans="1:10" ht="15" customHeight="1" thickBot="1" x14ac:dyDescent="0.25">
      <c r="A166" s="247" t="s">
        <v>243</v>
      </c>
      <c r="E166" s="212" t="s">
        <v>27</v>
      </c>
    </row>
    <row r="167" spans="1:10" ht="14.25" thickTop="1" thickBot="1" x14ac:dyDescent="0.25">
      <c r="A167" s="213" t="s">
        <v>14</v>
      </c>
      <c r="B167" s="214" t="s">
        <v>0</v>
      </c>
      <c r="C167" s="215" t="s">
        <v>1</v>
      </c>
      <c r="D167" s="216" t="s">
        <v>13</v>
      </c>
      <c r="E167" s="217" t="s">
        <v>15</v>
      </c>
    </row>
    <row r="168" spans="1:10" ht="15.75" thickTop="1" x14ac:dyDescent="0.2">
      <c r="A168" s="218" t="s">
        <v>18</v>
      </c>
      <c r="B168" s="219">
        <f>SUM(B169:B222)</f>
        <v>18974000</v>
      </c>
      <c r="C168" s="219">
        <f>SUM(C169:C222)</f>
        <v>17004164</v>
      </c>
      <c r="D168" s="219">
        <f>SUM(D169:D222)</f>
        <v>16973656</v>
      </c>
      <c r="E168" s="248">
        <f>D168/C168*100</f>
        <v>99.820585122561738</v>
      </c>
      <c r="F168" s="209"/>
    </row>
    <row r="169" spans="1:10" s="161" customFormat="1" x14ac:dyDescent="0.2">
      <c r="A169" s="266" t="s">
        <v>441</v>
      </c>
      <c r="B169" s="150">
        <v>200000</v>
      </c>
      <c r="C169" s="155">
        <f>200000-24000</f>
        <v>176000</v>
      </c>
      <c r="D169" s="155">
        <v>176000</v>
      </c>
      <c r="E169" s="224">
        <f>D169/C169*100</f>
        <v>100</v>
      </c>
      <c r="F169" s="357"/>
      <c r="G169" s="202"/>
      <c r="H169" s="210"/>
    </row>
    <row r="170" spans="1:10" s="161" customFormat="1" x14ac:dyDescent="0.2">
      <c r="A170" s="266" t="s">
        <v>442</v>
      </c>
      <c r="B170" s="150">
        <v>350000</v>
      </c>
      <c r="C170" s="155">
        <v>350000</v>
      </c>
      <c r="D170" s="155">
        <v>350000</v>
      </c>
      <c r="E170" s="224">
        <f t="shared" ref="E170:E221" si="5">D170/C170*100</f>
        <v>100</v>
      </c>
      <c r="F170" s="357"/>
      <c r="G170" s="210"/>
      <c r="H170" s="210"/>
    </row>
    <row r="171" spans="1:10" s="161" customFormat="1" x14ac:dyDescent="0.2">
      <c r="A171" s="266" t="s">
        <v>443</v>
      </c>
      <c r="B171" s="150">
        <v>650000</v>
      </c>
      <c r="C171" s="155">
        <f>650000-1550</f>
        <v>648450</v>
      </c>
      <c r="D171" s="155">
        <v>648450</v>
      </c>
      <c r="E171" s="224">
        <f t="shared" si="5"/>
        <v>100</v>
      </c>
      <c r="F171" s="357"/>
      <c r="G171" s="210"/>
      <c r="H171" s="210"/>
    </row>
    <row r="172" spans="1:10" s="161" customFormat="1" x14ac:dyDescent="0.2">
      <c r="A172" s="266" t="s">
        <v>444</v>
      </c>
      <c r="B172" s="150">
        <v>160000</v>
      </c>
      <c r="C172" s="155">
        <v>160000</v>
      </c>
      <c r="D172" s="155">
        <v>160000</v>
      </c>
      <c r="E172" s="224">
        <f t="shared" si="5"/>
        <v>100</v>
      </c>
      <c r="F172" s="357"/>
      <c r="G172" s="210"/>
      <c r="H172" s="210"/>
    </row>
    <row r="173" spans="1:10" s="161" customFormat="1" x14ac:dyDescent="0.2">
      <c r="A173" s="266" t="s">
        <v>445</v>
      </c>
      <c r="B173" s="150">
        <v>330000</v>
      </c>
      <c r="C173" s="155">
        <f>330000-78650</f>
        <v>251350</v>
      </c>
      <c r="D173" s="155">
        <v>251350</v>
      </c>
      <c r="E173" s="224">
        <f t="shared" si="5"/>
        <v>100</v>
      </c>
      <c r="F173" s="357"/>
      <c r="G173" s="210"/>
      <c r="H173" s="210"/>
    </row>
    <row r="174" spans="1:10" s="161" customFormat="1" x14ac:dyDescent="0.2">
      <c r="A174" s="266" t="s">
        <v>446</v>
      </c>
      <c r="B174" s="150">
        <v>140000</v>
      </c>
      <c r="C174" s="155">
        <f>140000-11300</f>
        <v>128700</v>
      </c>
      <c r="D174" s="155">
        <v>128700</v>
      </c>
      <c r="E174" s="224">
        <f t="shared" si="5"/>
        <v>100</v>
      </c>
      <c r="F174" s="357"/>
      <c r="G174" s="210"/>
      <c r="H174" s="210"/>
    </row>
    <row r="175" spans="1:10" s="161" customFormat="1" x14ac:dyDescent="0.2">
      <c r="A175" s="149" t="s">
        <v>447</v>
      </c>
      <c r="B175" s="150">
        <v>50000</v>
      </c>
      <c r="C175" s="155">
        <v>45000</v>
      </c>
      <c r="D175" s="155">
        <v>45000</v>
      </c>
      <c r="E175" s="224">
        <f t="shared" si="5"/>
        <v>100</v>
      </c>
      <c r="F175" s="357"/>
      <c r="G175" s="210"/>
      <c r="H175" s="210"/>
    </row>
    <row r="176" spans="1:10" s="161" customFormat="1" x14ac:dyDescent="0.2">
      <c r="A176" s="266" t="s">
        <v>448</v>
      </c>
      <c r="B176" s="150">
        <v>750000</v>
      </c>
      <c r="C176" s="155">
        <f>750000-24276</f>
        <v>725724</v>
      </c>
      <c r="D176" s="155">
        <f>750000-24276</f>
        <v>725724</v>
      </c>
      <c r="E176" s="224">
        <f t="shared" si="5"/>
        <v>100</v>
      </c>
      <c r="F176" s="357"/>
      <c r="G176" s="210"/>
      <c r="H176" s="210"/>
    </row>
    <row r="177" spans="1:8" s="161" customFormat="1" x14ac:dyDescent="0.2">
      <c r="A177" s="266" t="s">
        <v>449</v>
      </c>
      <c r="B177" s="150">
        <v>200000</v>
      </c>
      <c r="C177" s="155">
        <v>126500</v>
      </c>
      <c r="D177" s="155">
        <v>126500</v>
      </c>
      <c r="E177" s="224">
        <f t="shared" si="5"/>
        <v>100</v>
      </c>
      <c r="F177" s="357"/>
      <c r="G177" s="210"/>
      <c r="H177" s="210"/>
    </row>
    <row r="178" spans="1:8" s="161" customFormat="1" x14ac:dyDescent="0.2">
      <c r="A178" s="266" t="s">
        <v>676</v>
      </c>
      <c r="B178" s="150">
        <v>0</v>
      </c>
      <c r="C178" s="155">
        <v>320000</v>
      </c>
      <c r="D178" s="155">
        <v>320000</v>
      </c>
      <c r="E178" s="224">
        <f t="shared" si="5"/>
        <v>100</v>
      </c>
      <c r="F178" s="357"/>
      <c r="G178" s="210"/>
      <c r="H178" s="210"/>
    </row>
    <row r="179" spans="1:8" s="161" customFormat="1" x14ac:dyDescent="0.2">
      <c r="A179" s="266" t="s">
        <v>450</v>
      </c>
      <c r="B179" s="150">
        <v>162000</v>
      </c>
      <c r="C179" s="155">
        <v>0</v>
      </c>
      <c r="D179" s="155">
        <v>0</v>
      </c>
      <c r="E179" s="224">
        <v>0</v>
      </c>
      <c r="F179" s="357"/>
      <c r="G179" s="210"/>
      <c r="H179" s="210"/>
    </row>
    <row r="180" spans="1:8" s="161" customFormat="1" x14ac:dyDescent="0.2">
      <c r="A180" s="149" t="s">
        <v>451</v>
      </c>
      <c r="B180" s="150">
        <v>256000</v>
      </c>
      <c r="C180" s="155">
        <v>256000</v>
      </c>
      <c r="D180" s="155">
        <v>256000</v>
      </c>
      <c r="E180" s="224">
        <f t="shared" si="5"/>
        <v>100</v>
      </c>
      <c r="F180" s="357"/>
      <c r="G180" s="210"/>
      <c r="H180" s="210"/>
    </row>
    <row r="181" spans="1:8" s="161" customFormat="1" x14ac:dyDescent="0.2">
      <c r="A181" s="266" t="s">
        <v>452</v>
      </c>
      <c r="B181" s="150">
        <v>720000</v>
      </c>
      <c r="C181" s="155">
        <v>671000</v>
      </c>
      <c r="D181" s="155">
        <v>671000</v>
      </c>
      <c r="E181" s="224">
        <f t="shared" si="5"/>
        <v>100</v>
      </c>
      <c r="F181" s="357"/>
      <c r="G181" s="210"/>
      <c r="H181" s="210"/>
    </row>
    <row r="182" spans="1:8" s="161" customFormat="1" x14ac:dyDescent="0.2">
      <c r="A182" s="266" t="s">
        <v>460</v>
      </c>
      <c r="B182" s="150">
        <v>350000</v>
      </c>
      <c r="C182" s="155">
        <v>350000</v>
      </c>
      <c r="D182" s="155">
        <v>350000</v>
      </c>
      <c r="E182" s="224">
        <f t="shared" si="5"/>
        <v>100</v>
      </c>
      <c r="F182" s="357"/>
      <c r="G182" s="210"/>
      <c r="H182" s="210"/>
    </row>
    <row r="183" spans="1:8" s="161" customFormat="1" x14ac:dyDescent="0.2">
      <c r="A183" s="266" t="s">
        <v>459</v>
      </c>
      <c r="B183" s="150">
        <v>400000</v>
      </c>
      <c r="C183" s="150">
        <v>400000</v>
      </c>
      <c r="D183" s="150">
        <v>400000</v>
      </c>
      <c r="E183" s="224">
        <f t="shared" si="5"/>
        <v>100</v>
      </c>
      <c r="F183" s="357"/>
      <c r="G183" s="210"/>
      <c r="H183" s="210"/>
    </row>
    <row r="184" spans="1:8" s="161" customFormat="1" x14ac:dyDescent="0.2">
      <c r="A184" s="266" t="s">
        <v>458</v>
      </c>
      <c r="B184" s="150">
        <v>850000</v>
      </c>
      <c r="C184" s="155">
        <v>849685</v>
      </c>
      <c r="D184" s="155">
        <v>849685</v>
      </c>
      <c r="E184" s="224">
        <f t="shared" si="5"/>
        <v>100</v>
      </c>
      <c r="F184" s="357"/>
      <c r="G184" s="210"/>
      <c r="H184" s="210"/>
    </row>
    <row r="185" spans="1:8" s="161" customFormat="1" x14ac:dyDescent="0.2">
      <c r="A185" s="266" t="s">
        <v>457</v>
      </c>
      <c r="B185" s="150">
        <v>450000</v>
      </c>
      <c r="C185" s="150">
        <v>450000</v>
      </c>
      <c r="D185" s="150">
        <v>450000</v>
      </c>
      <c r="E185" s="224">
        <f t="shared" si="5"/>
        <v>100</v>
      </c>
      <c r="F185" s="357"/>
      <c r="G185" s="210"/>
      <c r="H185" s="210"/>
    </row>
    <row r="186" spans="1:8" s="161" customFormat="1" x14ac:dyDescent="0.2">
      <c r="A186" s="266" t="s">
        <v>456</v>
      </c>
      <c r="B186" s="150">
        <v>320000</v>
      </c>
      <c r="C186" s="155">
        <v>0</v>
      </c>
      <c r="D186" s="155">
        <v>0</v>
      </c>
      <c r="E186" s="224">
        <v>0</v>
      </c>
      <c r="F186" s="357"/>
      <c r="G186" s="210"/>
      <c r="H186" s="210"/>
    </row>
    <row r="187" spans="1:8" s="161" customFormat="1" x14ac:dyDescent="0.2">
      <c r="A187" s="266" t="s">
        <v>455</v>
      </c>
      <c r="B187" s="150">
        <v>250000</v>
      </c>
      <c r="C187" s="155">
        <v>199979</v>
      </c>
      <c r="D187" s="155">
        <v>199979</v>
      </c>
      <c r="E187" s="224">
        <f t="shared" si="5"/>
        <v>100</v>
      </c>
      <c r="F187" s="357"/>
      <c r="G187" s="210"/>
      <c r="H187" s="210"/>
    </row>
    <row r="188" spans="1:8" s="161" customFormat="1" x14ac:dyDescent="0.2">
      <c r="A188" s="266" t="s">
        <v>454</v>
      </c>
      <c r="B188" s="150">
        <v>400000</v>
      </c>
      <c r="C188" s="155">
        <v>398400</v>
      </c>
      <c r="D188" s="155">
        <v>398400</v>
      </c>
      <c r="E188" s="224">
        <f t="shared" si="5"/>
        <v>100</v>
      </c>
      <c r="F188" s="357"/>
      <c r="G188" s="210"/>
      <c r="H188" s="210"/>
    </row>
    <row r="189" spans="1:8" s="161" customFormat="1" x14ac:dyDescent="0.2">
      <c r="A189" s="266" t="s">
        <v>453</v>
      </c>
      <c r="B189" s="150">
        <v>650000</v>
      </c>
      <c r="C189" s="155">
        <v>596300</v>
      </c>
      <c r="D189" s="155">
        <v>596300</v>
      </c>
      <c r="E189" s="224">
        <f t="shared" si="5"/>
        <v>100</v>
      </c>
      <c r="F189" s="357"/>
      <c r="G189" s="210"/>
      <c r="H189" s="210"/>
    </row>
    <row r="190" spans="1:8" s="161" customFormat="1" x14ac:dyDescent="0.2">
      <c r="A190" s="266" t="s">
        <v>461</v>
      </c>
      <c r="B190" s="150">
        <v>1500000</v>
      </c>
      <c r="C190" s="155">
        <v>1500000</v>
      </c>
      <c r="D190" s="155">
        <v>1500000</v>
      </c>
      <c r="E190" s="224">
        <f t="shared" si="5"/>
        <v>100</v>
      </c>
      <c r="F190" s="357"/>
      <c r="G190" s="210"/>
      <c r="H190" s="210"/>
    </row>
    <row r="191" spans="1:8" s="161" customFormat="1" x14ac:dyDescent="0.2">
      <c r="A191" s="266" t="s">
        <v>462</v>
      </c>
      <c r="B191" s="150">
        <v>150000</v>
      </c>
      <c r="C191" s="155">
        <v>135589</v>
      </c>
      <c r="D191" s="155">
        <v>135589</v>
      </c>
      <c r="E191" s="224">
        <f t="shared" si="5"/>
        <v>100</v>
      </c>
      <c r="F191" s="357"/>
      <c r="G191" s="210"/>
      <c r="H191" s="210"/>
    </row>
    <row r="192" spans="1:8" s="161" customFormat="1" x14ac:dyDescent="0.2">
      <c r="A192" s="266" t="s">
        <v>463</v>
      </c>
      <c r="B192" s="150">
        <v>130000</v>
      </c>
      <c r="C192" s="155">
        <v>129690</v>
      </c>
      <c r="D192" s="155">
        <v>129690</v>
      </c>
      <c r="E192" s="224">
        <f t="shared" si="5"/>
        <v>100</v>
      </c>
      <c r="F192" s="357"/>
      <c r="G192" s="210"/>
      <c r="H192" s="210"/>
    </row>
    <row r="193" spans="1:8" s="161" customFormat="1" x14ac:dyDescent="0.2">
      <c r="A193" s="266" t="s">
        <v>464</v>
      </c>
      <c r="B193" s="150">
        <v>110000</v>
      </c>
      <c r="C193" s="155">
        <v>110000</v>
      </c>
      <c r="D193" s="155">
        <v>110000</v>
      </c>
      <c r="E193" s="224">
        <f t="shared" si="5"/>
        <v>100</v>
      </c>
      <c r="F193" s="357"/>
      <c r="G193" s="210"/>
      <c r="H193" s="210"/>
    </row>
    <row r="194" spans="1:8" s="161" customFormat="1" x14ac:dyDescent="0.2">
      <c r="A194" s="266" t="s">
        <v>465</v>
      </c>
      <c r="B194" s="150">
        <v>150000</v>
      </c>
      <c r="C194" s="155">
        <v>149600</v>
      </c>
      <c r="D194" s="155">
        <v>149600</v>
      </c>
      <c r="E194" s="224">
        <f t="shared" si="5"/>
        <v>100</v>
      </c>
      <c r="F194" s="357"/>
      <c r="G194" s="210"/>
      <c r="H194" s="210"/>
    </row>
    <row r="195" spans="1:8" s="161" customFormat="1" x14ac:dyDescent="0.2">
      <c r="A195" s="266" t="s">
        <v>466</v>
      </c>
      <c r="B195" s="150">
        <v>150000</v>
      </c>
      <c r="C195" s="155">
        <v>121000</v>
      </c>
      <c r="D195" s="155">
        <v>121000</v>
      </c>
      <c r="E195" s="224">
        <f t="shared" si="5"/>
        <v>100</v>
      </c>
      <c r="F195" s="357"/>
      <c r="G195" s="210"/>
      <c r="H195" s="210"/>
    </row>
    <row r="196" spans="1:8" s="161" customFormat="1" x14ac:dyDescent="0.2">
      <c r="A196" s="266" t="s">
        <v>467</v>
      </c>
      <c r="B196" s="150">
        <v>1315000</v>
      </c>
      <c r="C196" s="155">
        <v>1314500</v>
      </c>
      <c r="D196" s="155">
        <v>1314500</v>
      </c>
      <c r="E196" s="224">
        <f t="shared" si="5"/>
        <v>100</v>
      </c>
      <c r="F196" s="357"/>
      <c r="G196" s="210"/>
      <c r="H196" s="210"/>
    </row>
    <row r="197" spans="1:8" s="161" customFormat="1" x14ac:dyDescent="0.2">
      <c r="A197" s="266" t="s">
        <v>468</v>
      </c>
      <c r="B197" s="150">
        <v>400000</v>
      </c>
      <c r="C197" s="155">
        <v>400000</v>
      </c>
      <c r="D197" s="155">
        <v>400000</v>
      </c>
      <c r="E197" s="224">
        <f t="shared" si="5"/>
        <v>100</v>
      </c>
      <c r="F197" s="357"/>
      <c r="G197" s="210"/>
      <c r="H197" s="210"/>
    </row>
    <row r="198" spans="1:8" s="161" customFormat="1" x14ac:dyDescent="0.2">
      <c r="A198" s="266" t="s">
        <v>469</v>
      </c>
      <c r="B198" s="150">
        <v>250000</v>
      </c>
      <c r="C198" s="155">
        <v>250000</v>
      </c>
      <c r="D198" s="155">
        <f>250000-30508</f>
        <v>219492</v>
      </c>
      <c r="E198" s="224">
        <f t="shared" si="5"/>
        <v>87.79679999999999</v>
      </c>
      <c r="F198" s="357"/>
      <c r="G198" s="210"/>
      <c r="H198" s="210"/>
    </row>
    <row r="199" spans="1:8" s="161" customFormat="1" x14ac:dyDescent="0.2">
      <c r="A199" s="266" t="s">
        <v>470</v>
      </c>
      <c r="B199" s="150">
        <v>800000</v>
      </c>
      <c r="C199" s="155">
        <v>640808</v>
      </c>
      <c r="D199" s="155">
        <v>640808</v>
      </c>
      <c r="E199" s="224">
        <f t="shared" si="5"/>
        <v>100</v>
      </c>
      <c r="F199" s="357"/>
      <c r="G199" s="210"/>
      <c r="H199" s="210"/>
    </row>
    <row r="200" spans="1:8" s="161" customFormat="1" x14ac:dyDescent="0.2">
      <c r="A200" s="266" t="s">
        <v>471</v>
      </c>
      <c r="B200" s="150">
        <v>170000</v>
      </c>
      <c r="C200" s="155">
        <v>0</v>
      </c>
      <c r="D200" s="155">
        <v>0</v>
      </c>
      <c r="E200" s="224">
        <v>0</v>
      </c>
      <c r="F200" s="357"/>
      <c r="G200" s="210"/>
      <c r="H200" s="210"/>
    </row>
    <row r="201" spans="1:8" s="161" customFormat="1" x14ac:dyDescent="0.2">
      <c r="A201" s="266" t="s">
        <v>472</v>
      </c>
      <c r="B201" s="150">
        <v>600000</v>
      </c>
      <c r="C201" s="155">
        <v>554000</v>
      </c>
      <c r="D201" s="155">
        <v>554000</v>
      </c>
      <c r="E201" s="224">
        <f t="shared" si="5"/>
        <v>100</v>
      </c>
      <c r="F201" s="357"/>
      <c r="G201" s="210"/>
      <c r="H201" s="210"/>
    </row>
    <row r="202" spans="1:8" s="161" customFormat="1" x14ac:dyDescent="0.2">
      <c r="A202" s="266" t="s">
        <v>473</v>
      </c>
      <c r="B202" s="150">
        <v>150000</v>
      </c>
      <c r="C202" s="155">
        <v>91047</v>
      </c>
      <c r="D202" s="155">
        <v>91047</v>
      </c>
      <c r="E202" s="224">
        <f t="shared" si="5"/>
        <v>100</v>
      </c>
      <c r="F202" s="357"/>
      <c r="G202" s="210"/>
      <c r="H202" s="210"/>
    </row>
    <row r="203" spans="1:8" s="161" customFormat="1" x14ac:dyDescent="0.2">
      <c r="A203" s="266" t="s">
        <v>474</v>
      </c>
      <c r="B203" s="150">
        <v>101000</v>
      </c>
      <c r="C203" s="155">
        <v>101000</v>
      </c>
      <c r="D203" s="155">
        <v>101000</v>
      </c>
      <c r="E203" s="224">
        <f t="shared" si="5"/>
        <v>100</v>
      </c>
      <c r="F203" s="357"/>
      <c r="G203" s="210"/>
      <c r="H203" s="210"/>
    </row>
    <row r="204" spans="1:8" s="161" customFormat="1" x14ac:dyDescent="0.2">
      <c r="A204" s="266" t="s">
        <v>475</v>
      </c>
      <c r="B204" s="150">
        <v>50000</v>
      </c>
      <c r="C204" s="155">
        <v>0</v>
      </c>
      <c r="D204" s="155">
        <v>0</v>
      </c>
      <c r="E204" s="224">
        <v>0</v>
      </c>
      <c r="F204" s="357"/>
      <c r="G204" s="210"/>
      <c r="H204" s="210"/>
    </row>
    <row r="205" spans="1:8" s="161" customFormat="1" x14ac:dyDescent="0.2">
      <c r="A205" s="266" t="s">
        <v>476</v>
      </c>
      <c r="B205" s="150">
        <v>150000</v>
      </c>
      <c r="C205" s="155">
        <v>150000</v>
      </c>
      <c r="D205" s="155">
        <v>150000</v>
      </c>
      <c r="E205" s="224">
        <f t="shared" si="5"/>
        <v>100</v>
      </c>
      <c r="F205" s="357"/>
      <c r="G205" s="210"/>
      <c r="H205" s="210"/>
    </row>
    <row r="206" spans="1:8" s="161" customFormat="1" x14ac:dyDescent="0.2">
      <c r="A206" s="266" t="s">
        <v>477</v>
      </c>
      <c r="B206" s="150">
        <v>200000</v>
      </c>
      <c r="C206" s="155">
        <v>116050</v>
      </c>
      <c r="D206" s="155">
        <v>116050</v>
      </c>
      <c r="E206" s="224">
        <f t="shared" si="5"/>
        <v>100</v>
      </c>
      <c r="F206" s="357"/>
      <c r="G206" s="210"/>
      <c r="H206" s="210"/>
    </row>
    <row r="207" spans="1:8" s="161" customFormat="1" x14ac:dyDescent="0.2">
      <c r="A207" s="266" t="s">
        <v>478</v>
      </c>
      <c r="B207" s="150">
        <v>300000</v>
      </c>
      <c r="C207" s="155">
        <v>200420</v>
      </c>
      <c r="D207" s="155">
        <v>200420</v>
      </c>
      <c r="E207" s="224">
        <f t="shared" si="5"/>
        <v>100</v>
      </c>
      <c r="F207" s="357"/>
      <c r="G207" s="210"/>
      <c r="H207" s="210"/>
    </row>
    <row r="208" spans="1:8" s="161" customFormat="1" x14ac:dyDescent="0.2">
      <c r="A208" s="266" t="s">
        <v>479</v>
      </c>
      <c r="B208" s="150">
        <v>150000</v>
      </c>
      <c r="C208" s="155">
        <v>150000</v>
      </c>
      <c r="D208" s="155">
        <v>150000</v>
      </c>
      <c r="E208" s="224">
        <f t="shared" si="5"/>
        <v>100</v>
      </c>
      <c r="F208" s="357"/>
      <c r="G208" s="210"/>
      <c r="H208" s="210"/>
    </row>
    <row r="209" spans="1:8" s="161" customFormat="1" x14ac:dyDescent="0.2">
      <c r="A209" s="266" t="s">
        <v>480</v>
      </c>
      <c r="B209" s="150">
        <v>300000</v>
      </c>
      <c r="C209" s="155">
        <v>275000</v>
      </c>
      <c r="D209" s="155">
        <v>275000</v>
      </c>
      <c r="E209" s="224">
        <f t="shared" si="5"/>
        <v>100</v>
      </c>
      <c r="F209" s="357"/>
      <c r="G209" s="210"/>
      <c r="H209" s="210"/>
    </row>
    <row r="210" spans="1:8" s="161" customFormat="1" x14ac:dyDescent="0.2">
      <c r="A210" s="266" t="s">
        <v>481</v>
      </c>
      <c r="B210" s="150">
        <v>150000</v>
      </c>
      <c r="C210" s="155">
        <v>90200</v>
      </c>
      <c r="D210" s="155">
        <v>90200</v>
      </c>
      <c r="E210" s="224">
        <f t="shared" si="5"/>
        <v>100</v>
      </c>
      <c r="F210" s="357"/>
      <c r="G210" s="210"/>
      <c r="H210" s="210"/>
    </row>
    <row r="211" spans="1:8" s="161" customFormat="1" x14ac:dyDescent="0.2">
      <c r="A211" s="266" t="s">
        <v>482</v>
      </c>
      <c r="B211" s="150">
        <v>400000</v>
      </c>
      <c r="C211" s="155">
        <v>389000</v>
      </c>
      <c r="D211" s="155">
        <v>389000</v>
      </c>
      <c r="E211" s="224">
        <f t="shared" si="5"/>
        <v>100</v>
      </c>
      <c r="F211" s="357"/>
      <c r="G211" s="210"/>
      <c r="H211" s="210"/>
    </row>
    <row r="212" spans="1:8" s="161" customFormat="1" x14ac:dyDescent="0.2">
      <c r="A212" s="266" t="s">
        <v>483</v>
      </c>
      <c r="B212" s="150">
        <v>500000</v>
      </c>
      <c r="C212" s="155">
        <f>500000-51200</f>
        <v>448800</v>
      </c>
      <c r="D212" s="155">
        <f>500000-51200</f>
        <v>448800</v>
      </c>
      <c r="E212" s="224">
        <f t="shared" si="5"/>
        <v>100</v>
      </c>
      <c r="F212" s="357"/>
      <c r="G212" s="210"/>
      <c r="H212" s="210"/>
    </row>
    <row r="213" spans="1:8" s="161" customFormat="1" x14ac:dyDescent="0.2">
      <c r="A213" s="266" t="s">
        <v>484</v>
      </c>
      <c r="B213" s="150">
        <v>500000</v>
      </c>
      <c r="C213" s="155">
        <v>500000</v>
      </c>
      <c r="D213" s="155">
        <v>500000</v>
      </c>
      <c r="E213" s="224">
        <f t="shared" si="5"/>
        <v>100</v>
      </c>
      <c r="F213" s="357"/>
      <c r="G213" s="210"/>
      <c r="H213" s="210"/>
    </row>
    <row r="214" spans="1:8" s="161" customFormat="1" x14ac:dyDescent="0.2">
      <c r="A214" s="266" t="s">
        <v>485</v>
      </c>
      <c r="B214" s="150">
        <v>300000</v>
      </c>
      <c r="C214" s="155">
        <v>258991</v>
      </c>
      <c r="D214" s="155">
        <v>258991</v>
      </c>
      <c r="E214" s="224">
        <f t="shared" si="5"/>
        <v>100</v>
      </c>
      <c r="F214" s="357"/>
      <c r="G214" s="210"/>
      <c r="H214" s="210"/>
    </row>
    <row r="215" spans="1:8" s="161" customFormat="1" x14ac:dyDescent="0.2">
      <c r="A215" s="266" t="s">
        <v>486</v>
      </c>
      <c r="B215" s="150">
        <v>250000</v>
      </c>
      <c r="C215" s="155">
        <v>213950</v>
      </c>
      <c r="D215" s="155">
        <v>213950</v>
      </c>
      <c r="E215" s="224">
        <f t="shared" si="5"/>
        <v>100</v>
      </c>
      <c r="F215" s="357"/>
      <c r="G215" s="210"/>
      <c r="H215" s="210"/>
    </row>
    <row r="216" spans="1:8" s="161" customFormat="1" x14ac:dyDescent="0.2">
      <c r="A216" s="266" t="s">
        <v>487</v>
      </c>
      <c r="B216" s="150">
        <v>800000</v>
      </c>
      <c r="C216" s="155">
        <v>799362</v>
      </c>
      <c r="D216" s="155">
        <v>799362</v>
      </c>
      <c r="E216" s="224">
        <f t="shared" si="5"/>
        <v>100</v>
      </c>
      <c r="F216" s="357"/>
      <c r="G216" s="210"/>
      <c r="H216" s="210"/>
    </row>
    <row r="217" spans="1:8" s="161" customFormat="1" x14ac:dyDescent="0.2">
      <c r="A217" s="266" t="s">
        <v>488</v>
      </c>
      <c r="B217" s="150">
        <v>200000</v>
      </c>
      <c r="C217" s="155">
        <v>164890</v>
      </c>
      <c r="D217" s="155">
        <v>164890</v>
      </c>
      <c r="E217" s="224">
        <f t="shared" si="5"/>
        <v>100</v>
      </c>
      <c r="F217" s="357"/>
      <c r="G217" s="210"/>
      <c r="H217" s="210"/>
    </row>
    <row r="218" spans="1:8" s="161" customFormat="1" x14ac:dyDescent="0.2">
      <c r="A218" s="266" t="s">
        <v>489</v>
      </c>
      <c r="B218" s="150">
        <v>400000</v>
      </c>
      <c r="C218" s="155">
        <v>374900</v>
      </c>
      <c r="D218" s="155">
        <v>374900</v>
      </c>
      <c r="E218" s="224">
        <f t="shared" si="5"/>
        <v>100</v>
      </c>
      <c r="F218" s="357"/>
      <c r="G218" s="210"/>
      <c r="H218" s="210"/>
    </row>
    <row r="219" spans="1:8" s="161" customFormat="1" x14ac:dyDescent="0.2">
      <c r="A219" s="266" t="s">
        <v>490</v>
      </c>
      <c r="B219" s="150">
        <v>150000</v>
      </c>
      <c r="C219" s="155">
        <v>143040</v>
      </c>
      <c r="D219" s="155">
        <v>143040</v>
      </c>
      <c r="E219" s="224">
        <f t="shared" si="5"/>
        <v>100</v>
      </c>
      <c r="F219" s="357"/>
      <c r="G219" s="210"/>
      <c r="H219" s="210"/>
    </row>
    <row r="220" spans="1:8" s="161" customFormat="1" x14ac:dyDescent="0.2">
      <c r="A220" s="266" t="s">
        <v>491</v>
      </c>
      <c r="B220" s="150">
        <v>100000</v>
      </c>
      <c r="C220" s="155">
        <v>0</v>
      </c>
      <c r="D220" s="155">
        <v>0</v>
      </c>
      <c r="E220" s="224">
        <v>0</v>
      </c>
      <c r="F220" s="357"/>
      <c r="G220" s="210"/>
      <c r="H220" s="210"/>
    </row>
    <row r="221" spans="1:8" s="161" customFormat="1" x14ac:dyDescent="0.2">
      <c r="A221" s="266" t="s">
        <v>492</v>
      </c>
      <c r="B221" s="150">
        <v>130000</v>
      </c>
      <c r="C221" s="155">
        <v>129239</v>
      </c>
      <c r="D221" s="155">
        <v>129239</v>
      </c>
      <c r="E221" s="224">
        <f t="shared" si="5"/>
        <v>100</v>
      </c>
      <c r="F221" s="357"/>
      <c r="G221" s="210"/>
      <c r="H221" s="210"/>
    </row>
    <row r="222" spans="1:8" s="161" customFormat="1" ht="13.5" thickBot="1" x14ac:dyDescent="0.25">
      <c r="A222" s="267" t="s">
        <v>493</v>
      </c>
      <c r="B222" s="252">
        <v>330000</v>
      </c>
      <c r="C222" s="396">
        <v>0</v>
      </c>
      <c r="D222" s="396">
        <v>0</v>
      </c>
      <c r="E222" s="240">
        <v>0</v>
      </c>
      <c r="F222" s="357"/>
      <c r="G222" s="210"/>
      <c r="H222" s="210"/>
    </row>
    <row r="223" spans="1:8" s="138" customFormat="1" ht="13.5" thickTop="1" x14ac:dyDescent="0.2">
      <c r="E223" s="242"/>
      <c r="F223" s="354"/>
      <c r="G223" s="246"/>
      <c r="H223" s="246"/>
    </row>
    <row r="224" spans="1:8" s="137" customFormat="1" ht="18.75" thickBot="1" x14ac:dyDescent="0.3">
      <c r="A224" s="254" t="s">
        <v>193</v>
      </c>
      <c r="B224" s="255">
        <f>SUM(B168,B111)</f>
        <v>122648000</v>
      </c>
      <c r="C224" s="255">
        <f t="shared" ref="C224:D224" si="6">SUM(C168,C111)</f>
        <v>45729996.32</v>
      </c>
      <c r="D224" s="255">
        <f t="shared" si="6"/>
        <v>33009712.52</v>
      </c>
      <c r="E224" s="256">
        <f>D224/C224*100</f>
        <v>72.183938719372279</v>
      </c>
      <c r="F224" s="201"/>
      <c r="G224" s="257"/>
      <c r="H224" s="257"/>
    </row>
    <row r="225" spans="1:8" s="138" customFormat="1" ht="13.5" thickTop="1" x14ac:dyDescent="0.2">
      <c r="E225" s="242"/>
      <c r="F225" s="354"/>
      <c r="G225" s="246"/>
      <c r="H225" s="246"/>
    </row>
    <row r="226" spans="1:8" s="138" customFormat="1" x14ac:dyDescent="0.2">
      <c r="E226" s="242"/>
      <c r="F226" s="354"/>
      <c r="G226" s="246"/>
      <c r="H226" s="246"/>
    </row>
    <row r="227" spans="1:8" s="138" customFormat="1" x14ac:dyDescent="0.2">
      <c r="E227" s="242"/>
      <c r="F227" s="354"/>
      <c r="G227" s="246"/>
      <c r="H227" s="246"/>
    </row>
    <row r="228" spans="1:8" ht="15" customHeight="1" x14ac:dyDescent="0.25">
      <c r="A228" s="208" t="s">
        <v>227</v>
      </c>
    </row>
    <row r="229" spans="1:8" ht="15" customHeight="1" thickBot="1" x14ac:dyDescent="0.3">
      <c r="A229" s="211" t="s">
        <v>183</v>
      </c>
      <c r="E229" s="212" t="s">
        <v>27</v>
      </c>
    </row>
    <row r="230" spans="1:8" ht="14.25" thickTop="1" thickBot="1" x14ac:dyDescent="0.25">
      <c r="A230" s="213" t="s">
        <v>14</v>
      </c>
      <c r="B230" s="214" t="s">
        <v>0</v>
      </c>
      <c r="C230" s="215" t="s">
        <v>1</v>
      </c>
      <c r="D230" s="216" t="s">
        <v>13</v>
      </c>
      <c r="E230" s="217" t="s">
        <v>15</v>
      </c>
    </row>
    <row r="231" spans="1:8" ht="15.75" thickTop="1" x14ac:dyDescent="0.25">
      <c r="A231" s="218" t="s">
        <v>20</v>
      </c>
      <c r="B231" s="270">
        <f>SUM(B232:B280)</f>
        <v>96464000</v>
      </c>
      <c r="C231" s="270">
        <f>SUM(C232:C280)</f>
        <v>59080405.75</v>
      </c>
      <c r="D231" s="270">
        <f>SUM(D232:D280)</f>
        <v>46180145.910000004</v>
      </c>
      <c r="E231" s="220">
        <f t="shared" ref="E231:E237" si="7">D231/C231*100</f>
        <v>78.16490987792514</v>
      </c>
      <c r="F231" s="209"/>
    </row>
    <row r="232" spans="1:8" s="207" customFormat="1" x14ac:dyDescent="0.2">
      <c r="A232" s="154" t="s">
        <v>291</v>
      </c>
      <c r="B232" s="271">
        <v>1767000</v>
      </c>
      <c r="C232" s="272">
        <v>100000</v>
      </c>
      <c r="D232" s="273">
        <v>0</v>
      </c>
      <c r="E232" s="224">
        <f t="shared" si="7"/>
        <v>0</v>
      </c>
      <c r="F232" s="357">
        <v>100012</v>
      </c>
      <c r="G232" s="274" t="s">
        <v>658</v>
      </c>
      <c r="H232" s="202"/>
    </row>
    <row r="233" spans="1:8" s="207" customFormat="1" x14ac:dyDescent="0.2">
      <c r="A233" s="154" t="s">
        <v>292</v>
      </c>
      <c r="B233" s="271">
        <v>13649000</v>
      </c>
      <c r="C233" s="272">
        <v>465700</v>
      </c>
      <c r="D233" s="273">
        <v>441260</v>
      </c>
      <c r="E233" s="224">
        <f t="shared" si="7"/>
        <v>94.751986257247154</v>
      </c>
      <c r="F233" s="357">
        <v>100027</v>
      </c>
      <c r="G233" s="202"/>
      <c r="H233" s="202"/>
    </row>
    <row r="234" spans="1:8" s="207" customFormat="1" x14ac:dyDescent="0.2">
      <c r="A234" s="154" t="s">
        <v>293</v>
      </c>
      <c r="B234" s="271">
        <v>100000</v>
      </c>
      <c r="C234" s="272">
        <v>3900</v>
      </c>
      <c r="D234" s="273">
        <v>3840</v>
      </c>
      <c r="E234" s="224">
        <f t="shared" si="7"/>
        <v>98.461538461538467</v>
      </c>
      <c r="F234" s="357">
        <v>100029</v>
      </c>
      <c r="G234" s="202"/>
      <c r="H234" s="202"/>
    </row>
    <row r="235" spans="1:8" s="207" customFormat="1" x14ac:dyDescent="0.2">
      <c r="A235" s="154" t="s">
        <v>294</v>
      </c>
      <c r="B235" s="271">
        <v>0</v>
      </c>
      <c r="C235" s="272">
        <v>640000</v>
      </c>
      <c r="D235" s="273">
        <v>609240</v>
      </c>
      <c r="E235" s="224">
        <f t="shared" si="7"/>
        <v>95.193749999999994</v>
      </c>
      <c r="F235" s="357">
        <v>100032</v>
      </c>
      <c r="G235" s="202"/>
      <c r="H235" s="202"/>
    </row>
    <row r="236" spans="1:8" s="207" customFormat="1" x14ac:dyDescent="0.2">
      <c r="A236" s="154" t="s">
        <v>295</v>
      </c>
      <c r="B236" s="271">
        <v>188000</v>
      </c>
      <c r="C236" s="272">
        <v>188000</v>
      </c>
      <c r="D236" s="273">
        <v>0</v>
      </c>
      <c r="E236" s="224">
        <f t="shared" si="7"/>
        <v>0</v>
      </c>
      <c r="F236" s="357">
        <v>100033</v>
      </c>
      <c r="G236" s="202"/>
      <c r="H236" s="202"/>
    </row>
    <row r="237" spans="1:8" s="207" customFormat="1" x14ac:dyDescent="0.2">
      <c r="A237" s="154" t="s">
        <v>296</v>
      </c>
      <c r="B237" s="271">
        <v>0</v>
      </c>
      <c r="C237" s="272">
        <v>57600</v>
      </c>
      <c r="D237" s="273">
        <v>57600</v>
      </c>
      <c r="E237" s="224">
        <f t="shared" si="7"/>
        <v>100</v>
      </c>
      <c r="F237" s="357">
        <v>100037</v>
      </c>
      <c r="G237" s="202"/>
      <c r="H237" s="202"/>
    </row>
    <row r="238" spans="1:8" s="207" customFormat="1" x14ac:dyDescent="0.2">
      <c r="A238" s="370" t="s">
        <v>297</v>
      </c>
      <c r="B238" s="271">
        <v>231000</v>
      </c>
      <c r="C238" s="272">
        <v>0</v>
      </c>
      <c r="D238" s="273">
        <v>0</v>
      </c>
      <c r="E238" s="224">
        <v>0</v>
      </c>
      <c r="F238" s="357">
        <v>100040</v>
      </c>
      <c r="G238" s="202"/>
      <c r="H238" s="202"/>
    </row>
    <row r="239" spans="1:8" s="207" customFormat="1" x14ac:dyDescent="0.2">
      <c r="A239" s="370" t="s">
        <v>298</v>
      </c>
      <c r="B239" s="271">
        <v>852000</v>
      </c>
      <c r="C239" s="272">
        <v>0</v>
      </c>
      <c r="D239" s="273">
        <v>0</v>
      </c>
      <c r="E239" s="224">
        <v>0</v>
      </c>
      <c r="F239" s="357">
        <v>100041</v>
      </c>
      <c r="G239" s="202"/>
      <c r="H239" s="202"/>
    </row>
    <row r="240" spans="1:8" s="362" customFormat="1" ht="25.5" x14ac:dyDescent="0.2">
      <c r="A240" s="230" t="s">
        <v>299</v>
      </c>
      <c r="B240" s="275">
        <v>800000</v>
      </c>
      <c r="C240" s="276">
        <v>50000</v>
      </c>
      <c r="D240" s="277">
        <v>0</v>
      </c>
      <c r="E240" s="224">
        <f t="shared" ref="E240:E245" si="8">D240/C240*100</f>
        <v>0</v>
      </c>
      <c r="F240" s="353">
        <v>100052</v>
      </c>
      <c r="G240" s="361"/>
      <c r="H240" s="361"/>
    </row>
    <row r="241" spans="1:8" s="207" customFormat="1" x14ac:dyDescent="0.2">
      <c r="A241" s="154" t="s">
        <v>300</v>
      </c>
      <c r="B241" s="271">
        <v>303000</v>
      </c>
      <c r="C241" s="272">
        <v>704810</v>
      </c>
      <c r="D241" s="273">
        <v>661747</v>
      </c>
      <c r="E241" s="224">
        <f t="shared" si="8"/>
        <v>93.890126417048563</v>
      </c>
      <c r="F241" s="357">
        <v>100060</v>
      </c>
      <c r="G241" s="202"/>
      <c r="H241" s="202"/>
    </row>
    <row r="242" spans="1:8" s="207" customFormat="1" x14ac:dyDescent="0.2">
      <c r="A242" s="154" t="s">
        <v>301</v>
      </c>
      <c r="B242" s="271">
        <v>32600000</v>
      </c>
      <c r="C242" s="271">
        <v>30500000</v>
      </c>
      <c r="D242" s="271">
        <v>30434442.210000001</v>
      </c>
      <c r="E242" s="224">
        <f t="shared" si="8"/>
        <v>99.785056426229517</v>
      </c>
      <c r="F242" s="357">
        <v>100061</v>
      </c>
      <c r="G242" s="202"/>
      <c r="H242" s="202"/>
    </row>
    <row r="243" spans="1:8" s="207" customFormat="1" x14ac:dyDescent="0.2">
      <c r="A243" s="154" t="s">
        <v>302</v>
      </c>
      <c r="B243" s="271">
        <v>1500000</v>
      </c>
      <c r="C243" s="271">
        <v>2185080</v>
      </c>
      <c r="D243" s="271">
        <v>1208768</v>
      </c>
      <c r="E243" s="224">
        <f t="shared" si="8"/>
        <v>55.31916451571567</v>
      </c>
      <c r="F243" s="357">
        <v>100106</v>
      </c>
      <c r="G243" s="202"/>
      <c r="H243" s="202"/>
    </row>
    <row r="244" spans="1:8" s="207" customFormat="1" x14ac:dyDescent="0.2">
      <c r="A244" s="154" t="s">
        <v>128</v>
      </c>
      <c r="B244" s="271">
        <v>2816000</v>
      </c>
      <c r="C244" s="271">
        <v>1761000</v>
      </c>
      <c r="D244" s="271">
        <v>1754710.84</v>
      </c>
      <c r="E244" s="224">
        <f t="shared" si="8"/>
        <v>99.642864281658149</v>
      </c>
      <c r="F244" s="357">
        <v>100108</v>
      </c>
      <c r="G244" s="202"/>
      <c r="H244" s="202"/>
    </row>
    <row r="245" spans="1:8" s="207" customFormat="1" x14ac:dyDescent="0.2">
      <c r="A245" s="154" t="s">
        <v>303</v>
      </c>
      <c r="B245" s="271">
        <v>161000</v>
      </c>
      <c r="C245" s="271">
        <v>166525</v>
      </c>
      <c r="D245" s="271">
        <v>166523</v>
      </c>
      <c r="E245" s="224">
        <f t="shared" si="8"/>
        <v>99.99879897913226</v>
      </c>
      <c r="F245" s="357">
        <v>100110</v>
      </c>
      <c r="G245" s="202"/>
      <c r="H245" s="202"/>
    </row>
    <row r="246" spans="1:8" s="207" customFormat="1" x14ac:dyDescent="0.2">
      <c r="A246" s="370" t="s">
        <v>304</v>
      </c>
      <c r="B246" s="271">
        <v>2500000</v>
      </c>
      <c r="C246" s="271">
        <v>0</v>
      </c>
      <c r="D246" s="271">
        <v>0</v>
      </c>
      <c r="E246" s="224">
        <v>0</v>
      </c>
      <c r="F246" s="357">
        <v>100112</v>
      </c>
      <c r="G246" s="202"/>
      <c r="H246" s="202"/>
    </row>
    <row r="247" spans="1:8" s="207" customFormat="1" x14ac:dyDescent="0.2">
      <c r="A247" s="154" t="s">
        <v>31</v>
      </c>
      <c r="B247" s="271">
        <v>2500000</v>
      </c>
      <c r="C247" s="271">
        <v>441487</v>
      </c>
      <c r="D247" s="271">
        <v>1157</v>
      </c>
      <c r="E247" s="224">
        <f>D247/C247*100</f>
        <v>0.26206887179010935</v>
      </c>
      <c r="F247" s="357">
        <v>100114</v>
      </c>
      <c r="G247" s="202"/>
      <c r="H247" s="202"/>
    </row>
    <row r="248" spans="1:8" s="207" customFormat="1" x14ac:dyDescent="0.2">
      <c r="A248" s="154" t="s">
        <v>33</v>
      </c>
      <c r="B248" s="271">
        <v>1667000</v>
      </c>
      <c r="C248" s="271">
        <v>1671199</v>
      </c>
      <c r="D248" s="271">
        <v>1585720.26</v>
      </c>
      <c r="E248" s="224">
        <f t="shared" ref="E248:E259" si="9">D248/C248*100</f>
        <v>94.885184828377717</v>
      </c>
      <c r="F248" s="357">
        <v>100116</v>
      </c>
      <c r="G248" s="202"/>
      <c r="H248" s="202"/>
    </row>
    <row r="249" spans="1:8" s="207" customFormat="1" x14ac:dyDescent="0.2">
      <c r="A249" s="230" t="s">
        <v>305</v>
      </c>
      <c r="B249" s="271">
        <v>5000000</v>
      </c>
      <c r="C249" s="271">
        <v>1257100</v>
      </c>
      <c r="D249" s="275">
        <v>0</v>
      </c>
      <c r="E249" s="224">
        <f t="shared" si="9"/>
        <v>0</v>
      </c>
      <c r="F249" s="353">
        <v>100130</v>
      </c>
      <c r="G249" s="202"/>
      <c r="H249" s="202"/>
    </row>
    <row r="250" spans="1:8" s="207" customFormat="1" x14ac:dyDescent="0.2">
      <c r="A250" s="230" t="s">
        <v>306</v>
      </c>
      <c r="B250" s="271">
        <v>3500000</v>
      </c>
      <c r="C250" s="271">
        <v>0</v>
      </c>
      <c r="D250" s="275">
        <v>0</v>
      </c>
      <c r="E250" s="224">
        <v>0</v>
      </c>
      <c r="F250" s="357">
        <v>100139</v>
      </c>
      <c r="G250" s="202"/>
      <c r="H250" s="202"/>
    </row>
    <row r="251" spans="1:8" s="207" customFormat="1" x14ac:dyDescent="0.2">
      <c r="A251" s="370" t="s">
        <v>307</v>
      </c>
      <c r="B251" s="271">
        <v>363000</v>
      </c>
      <c r="C251" s="271">
        <v>0</v>
      </c>
      <c r="D251" s="275">
        <v>0</v>
      </c>
      <c r="E251" s="224">
        <v>0</v>
      </c>
      <c r="F251" s="357">
        <v>100329</v>
      </c>
      <c r="G251" s="202"/>
      <c r="H251" s="202"/>
    </row>
    <row r="252" spans="1:8" s="207" customFormat="1" x14ac:dyDescent="0.2">
      <c r="A252" s="230" t="s">
        <v>308</v>
      </c>
      <c r="B252" s="271">
        <v>4900000</v>
      </c>
      <c r="C252" s="271">
        <v>400400</v>
      </c>
      <c r="D252" s="275">
        <v>6000</v>
      </c>
      <c r="E252" s="224">
        <f t="shared" si="9"/>
        <v>1.4985014985014986</v>
      </c>
      <c r="F252" s="357">
        <v>100532</v>
      </c>
      <c r="G252" s="202"/>
      <c r="H252" s="202"/>
    </row>
    <row r="253" spans="1:8" s="207" customFormat="1" x14ac:dyDescent="0.2">
      <c r="A253" s="230" t="s">
        <v>309</v>
      </c>
      <c r="B253" s="271">
        <v>0</v>
      </c>
      <c r="C253" s="271">
        <v>473761</v>
      </c>
      <c r="D253" s="275">
        <v>473407</v>
      </c>
      <c r="E253" s="224">
        <f t="shared" si="9"/>
        <v>99.925278779806689</v>
      </c>
      <c r="F253" s="357">
        <v>100533</v>
      </c>
      <c r="G253" s="202"/>
      <c r="H253" s="202"/>
    </row>
    <row r="254" spans="1:8" s="207" customFormat="1" x14ac:dyDescent="0.2">
      <c r="A254" s="230" t="s">
        <v>310</v>
      </c>
      <c r="B254" s="271">
        <v>2667000</v>
      </c>
      <c r="C254" s="271">
        <v>963302</v>
      </c>
      <c r="D254" s="275">
        <v>963002</v>
      </c>
      <c r="E254" s="224">
        <f t="shared" si="9"/>
        <v>99.968857118536036</v>
      </c>
      <c r="F254" s="357">
        <v>100534</v>
      </c>
      <c r="G254" s="202"/>
      <c r="H254" s="202"/>
    </row>
    <row r="255" spans="1:8" s="207" customFormat="1" x14ac:dyDescent="0.2">
      <c r="A255" s="154" t="s">
        <v>311</v>
      </c>
      <c r="B255" s="271">
        <v>2200000</v>
      </c>
      <c r="C255" s="271">
        <v>1740000</v>
      </c>
      <c r="D255" s="271">
        <v>1090000</v>
      </c>
      <c r="E255" s="224">
        <f t="shared" si="9"/>
        <v>62.643678160919535</v>
      </c>
      <c r="F255" s="357">
        <v>100535</v>
      </c>
      <c r="G255" s="202"/>
      <c r="H255" s="202"/>
    </row>
    <row r="256" spans="1:8" s="207" customFormat="1" x14ac:dyDescent="0.2">
      <c r="A256" s="154" t="s">
        <v>312</v>
      </c>
      <c r="B256" s="271">
        <v>1500000</v>
      </c>
      <c r="C256" s="271">
        <v>1761000</v>
      </c>
      <c r="D256" s="271">
        <v>448764</v>
      </c>
      <c r="E256" s="224">
        <f t="shared" si="9"/>
        <v>25.483475298126063</v>
      </c>
      <c r="F256" s="357">
        <v>100536</v>
      </c>
      <c r="G256" s="202"/>
      <c r="H256" s="202"/>
    </row>
    <row r="257" spans="1:8" s="207" customFormat="1" x14ac:dyDescent="0.2">
      <c r="A257" s="154" t="s">
        <v>587</v>
      </c>
      <c r="B257" s="271">
        <v>0</v>
      </c>
      <c r="C257" s="271">
        <v>1256938</v>
      </c>
      <c r="D257" s="271">
        <v>125067.6</v>
      </c>
      <c r="E257" s="224">
        <f t="shared" si="9"/>
        <v>9.9501805180526013</v>
      </c>
      <c r="F257" s="357">
        <v>100567</v>
      </c>
      <c r="G257" s="202" t="s">
        <v>586</v>
      </c>
      <c r="H257" s="202"/>
    </row>
    <row r="258" spans="1:8" s="207" customFormat="1" x14ac:dyDescent="0.2">
      <c r="A258" s="154" t="s">
        <v>588</v>
      </c>
      <c r="B258" s="271">
        <v>0</v>
      </c>
      <c r="C258" s="271">
        <v>898405.75</v>
      </c>
      <c r="D258" s="271">
        <v>113701</v>
      </c>
      <c r="E258" s="224">
        <f t="shared" si="9"/>
        <v>12.655862899363679</v>
      </c>
      <c r="F258" s="357">
        <v>100569</v>
      </c>
      <c r="G258" s="202" t="s">
        <v>586</v>
      </c>
      <c r="H258" s="202"/>
    </row>
    <row r="259" spans="1:8" s="161" customFormat="1" x14ac:dyDescent="0.2">
      <c r="A259" s="154" t="s">
        <v>494</v>
      </c>
      <c r="B259" s="271">
        <v>700000</v>
      </c>
      <c r="C259" s="271">
        <v>471300</v>
      </c>
      <c r="D259" s="271">
        <v>0</v>
      </c>
      <c r="E259" s="224">
        <f t="shared" si="9"/>
        <v>0</v>
      </c>
      <c r="F259" s="357">
        <v>100643</v>
      </c>
      <c r="G259" s="210"/>
      <c r="H259" s="210"/>
    </row>
    <row r="260" spans="1:8" s="161" customFormat="1" x14ac:dyDescent="0.2">
      <c r="A260" s="154" t="s">
        <v>495</v>
      </c>
      <c r="B260" s="273">
        <v>300000</v>
      </c>
      <c r="C260" s="273">
        <v>2779600</v>
      </c>
      <c r="D260" s="273">
        <v>2450769</v>
      </c>
      <c r="E260" s="224">
        <f>D260/C260*100</f>
        <v>88.169844581954237</v>
      </c>
      <c r="F260" s="357">
        <v>100644</v>
      </c>
      <c r="G260" s="210"/>
      <c r="H260" s="210"/>
    </row>
    <row r="261" spans="1:8" s="161" customFormat="1" x14ac:dyDescent="0.2">
      <c r="A261" s="154" t="s">
        <v>496</v>
      </c>
      <c r="B261" s="273">
        <v>200000</v>
      </c>
      <c r="C261" s="273">
        <v>527500</v>
      </c>
      <c r="D261" s="273">
        <v>527112</v>
      </c>
      <c r="E261" s="224">
        <f>D261/C261*100</f>
        <v>99.92644549763034</v>
      </c>
      <c r="F261" s="357">
        <v>100645</v>
      </c>
      <c r="G261" s="210"/>
      <c r="H261" s="210"/>
    </row>
    <row r="262" spans="1:8" s="161" customFormat="1" x14ac:dyDescent="0.2">
      <c r="A262" s="154" t="s">
        <v>497</v>
      </c>
      <c r="B262" s="273">
        <v>500000</v>
      </c>
      <c r="C262" s="273">
        <v>500000</v>
      </c>
      <c r="D262" s="273">
        <v>117000</v>
      </c>
      <c r="E262" s="224">
        <f>D262/C262*100</f>
        <v>23.400000000000002</v>
      </c>
      <c r="F262" s="357">
        <v>100646</v>
      </c>
      <c r="G262" s="210"/>
      <c r="H262" s="210"/>
    </row>
    <row r="263" spans="1:8" s="161" customFormat="1" x14ac:dyDescent="0.2">
      <c r="A263" s="154" t="s">
        <v>498</v>
      </c>
      <c r="B263" s="273">
        <v>500000</v>
      </c>
      <c r="C263" s="273">
        <v>0</v>
      </c>
      <c r="D263" s="273">
        <v>0</v>
      </c>
      <c r="E263" s="224">
        <v>0</v>
      </c>
      <c r="F263" s="357">
        <v>100647</v>
      </c>
      <c r="G263" s="210"/>
      <c r="H263" s="210"/>
    </row>
    <row r="264" spans="1:8" s="161" customFormat="1" x14ac:dyDescent="0.2">
      <c r="A264" s="154" t="s">
        <v>499</v>
      </c>
      <c r="B264" s="273">
        <v>2500000</v>
      </c>
      <c r="C264" s="273">
        <v>0</v>
      </c>
      <c r="D264" s="273">
        <v>0</v>
      </c>
      <c r="E264" s="224">
        <v>0</v>
      </c>
      <c r="F264" s="357">
        <v>100648</v>
      </c>
      <c r="G264" s="210"/>
      <c r="H264" s="210"/>
    </row>
    <row r="265" spans="1:8" s="362" customFormat="1" x14ac:dyDescent="0.2">
      <c r="A265" s="230" t="s">
        <v>507</v>
      </c>
      <c r="B265" s="360">
        <v>10000000</v>
      </c>
      <c r="C265" s="236">
        <v>0</v>
      </c>
      <c r="D265" s="236">
        <v>0</v>
      </c>
      <c r="E265" s="224">
        <v>0</v>
      </c>
      <c r="F265" s="353">
        <v>100658</v>
      </c>
      <c r="G265" s="361"/>
      <c r="H265" s="361"/>
    </row>
    <row r="266" spans="1:8" s="362" customFormat="1" x14ac:dyDescent="0.2">
      <c r="A266" s="230" t="s">
        <v>500</v>
      </c>
      <c r="B266" s="360">
        <v>0</v>
      </c>
      <c r="C266" s="236">
        <v>300000</v>
      </c>
      <c r="D266" s="236">
        <v>0</v>
      </c>
      <c r="E266" s="224">
        <v>0</v>
      </c>
      <c r="F266" s="353">
        <v>100674</v>
      </c>
      <c r="G266" s="361"/>
      <c r="H266" s="361"/>
    </row>
    <row r="267" spans="1:8" s="226" customFormat="1" x14ac:dyDescent="0.2">
      <c r="A267" s="230" t="s">
        <v>501</v>
      </c>
      <c r="B267" s="222">
        <v>0</v>
      </c>
      <c r="C267" s="232">
        <v>187500</v>
      </c>
      <c r="D267" s="232">
        <v>0</v>
      </c>
      <c r="E267" s="224">
        <v>0</v>
      </c>
      <c r="F267" s="353">
        <v>100675</v>
      </c>
      <c r="G267" s="225"/>
      <c r="H267" s="225"/>
    </row>
    <row r="268" spans="1:8" s="226" customFormat="1" x14ac:dyDescent="0.2">
      <c r="A268" s="230" t="s">
        <v>502</v>
      </c>
      <c r="B268" s="222">
        <v>0</v>
      </c>
      <c r="C268" s="232">
        <v>300000</v>
      </c>
      <c r="D268" s="232">
        <v>0</v>
      </c>
      <c r="E268" s="224">
        <f>D268/C268*100</f>
        <v>0</v>
      </c>
      <c r="F268" s="353">
        <v>100676</v>
      </c>
      <c r="G268" s="225"/>
      <c r="H268" s="225"/>
    </row>
    <row r="269" spans="1:8" s="226" customFormat="1" x14ac:dyDescent="0.2">
      <c r="A269" s="230" t="s">
        <v>503</v>
      </c>
      <c r="B269" s="222">
        <v>0</v>
      </c>
      <c r="C269" s="232">
        <v>300000</v>
      </c>
      <c r="D269" s="232">
        <v>0</v>
      </c>
      <c r="E269" s="224">
        <f>D269/C269*100</f>
        <v>0</v>
      </c>
      <c r="F269" s="353">
        <v>100677</v>
      </c>
      <c r="G269" s="225"/>
      <c r="H269" s="225"/>
    </row>
    <row r="270" spans="1:8" s="226" customFormat="1" x14ac:dyDescent="0.2">
      <c r="A270" s="230" t="s">
        <v>504</v>
      </c>
      <c r="B270" s="222">
        <v>0</v>
      </c>
      <c r="C270" s="232">
        <v>400000</v>
      </c>
      <c r="D270" s="232">
        <v>0</v>
      </c>
      <c r="E270" s="224">
        <v>0</v>
      </c>
      <c r="F270" s="353">
        <v>100678</v>
      </c>
      <c r="G270" s="225"/>
      <c r="H270" s="225"/>
    </row>
    <row r="271" spans="1:8" s="226" customFormat="1" x14ac:dyDescent="0.2">
      <c r="A271" s="230" t="s">
        <v>505</v>
      </c>
      <c r="B271" s="222">
        <v>0</v>
      </c>
      <c r="C271" s="232">
        <v>300000</v>
      </c>
      <c r="D271" s="232">
        <v>57600</v>
      </c>
      <c r="E271" s="224">
        <f t="shared" ref="E271:E280" si="10">D271/C271*100</f>
        <v>19.2</v>
      </c>
      <c r="F271" s="363">
        <v>100679</v>
      </c>
      <c r="G271" s="225"/>
      <c r="H271" s="225"/>
    </row>
    <row r="272" spans="1:8" s="226" customFormat="1" x14ac:dyDescent="0.2">
      <c r="A272" s="230" t="s">
        <v>506</v>
      </c>
      <c r="B272" s="222">
        <v>0</v>
      </c>
      <c r="C272" s="232">
        <v>300000</v>
      </c>
      <c r="D272" s="232">
        <v>0</v>
      </c>
      <c r="E272" s="224">
        <f t="shared" si="10"/>
        <v>0</v>
      </c>
      <c r="F272" s="363">
        <v>100680</v>
      </c>
      <c r="G272" s="225"/>
      <c r="H272" s="225"/>
    </row>
    <row r="273" spans="1:9" s="226" customFormat="1" x14ac:dyDescent="0.2">
      <c r="A273" s="230" t="s">
        <v>132</v>
      </c>
      <c r="B273" s="222">
        <v>0</v>
      </c>
      <c r="C273" s="232">
        <v>2278914</v>
      </c>
      <c r="D273" s="232">
        <v>1270886</v>
      </c>
      <c r="E273" s="224">
        <f t="shared" si="10"/>
        <v>55.767176821942378</v>
      </c>
      <c r="F273" s="363">
        <v>100697</v>
      </c>
      <c r="G273" s="225"/>
      <c r="H273" s="225"/>
    </row>
    <row r="274" spans="1:9" s="226" customFormat="1" x14ac:dyDescent="0.2">
      <c r="A274" s="230" t="s">
        <v>292</v>
      </c>
      <c r="B274" s="222">
        <v>0</v>
      </c>
      <c r="C274" s="232">
        <v>305000</v>
      </c>
      <c r="D274" s="232">
        <v>88134</v>
      </c>
      <c r="E274" s="224">
        <f t="shared" si="10"/>
        <v>28.896393442622951</v>
      </c>
      <c r="F274" s="363">
        <v>100027</v>
      </c>
      <c r="G274" s="225" t="s">
        <v>612</v>
      </c>
      <c r="H274" s="225"/>
    </row>
    <row r="275" spans="1:9" s="226" customFormat="1" x14ac:dyDescent="0.2">
      <c r="A275" s="230" t="s">
        <v>296</v>
      </c>
      <c r="B275" s="222">
        <v>0</v>
      </c>
      <c r="C275" s="232">
        <v>14400</v>
      </c>
      <c r="D275" s="232">
        <v>14400</v>
      </c>
      <c r="E275" s="224">
        <f t="shared" si="10"/>
        <v>100</v>
      </c>
      <c r="F275" s="363">
        <v>100037</v>
      </c>
      <c r="G275" s="225" t="s">
        <v>612</v>
      </c>
      <c r="H275" s="225"/>
    </row>
    <row r="276" spans="1:9" s="226" customFormat="1" x14ac:dyDescent="0.2">
      <c r="A276" s="230" t="s">
        <v>300</v>
      </c>
      <c r="B276" s="222">
        <v>0</v>
      </c>
      <c r="C276" s="232">
        <v>335000</v>
      </c>
      <c r="D276" s="232">
        <v>160254</v>
      </c>
      <c r="E276" s="224">
        <f t="shared" si="10"/>
        <v>47.837014925373133</v>
      </c>
      <c r="F276" s="363">
        <v>100060</v>
      </c>
      <c r="G276" s="225" t="s">
        <v>612</v>
      </c>
      <c r="H276" s="225"/>
    </row>
    <row r="277" spans="1:9" s="226" customFormat="1" x14ac:dyDescent="0.2">
      <c r="A277" s="230" t="s">
        <v>634</v>
      </c>
      <c r="B277" s="222">
        <v>0</v>
      </c>
      <c r="C277" s="232">
        <v>1051984</v>
      </c>
      <c r="D277" s="232">
        <v>564547</v>
      </c>
      <c r="E277" s="224">
        <f t="shared" si="10"/>
        <v>53.664979695508677</v>
      </c>
      <c r="F277" s="363">
        <v>100065</v>
      </c>
      <c r="G277" s="225" t="s">
        <v>612</v>
      </c>
      <c r="H277" s="225"/>
    </row>
    <row r="278" spans="1:9" s="226" customFormat="1" x14ac:dyDescent="0.2">
      <c r="A278" s="230" t="s">
        <v>635</v>
      </c>
      <c r="B278" s="222">
        <v>0</v>
      </c>
      <c r="C278" s="232">
        <v>290000</v>
      </c>
      <c r="D278" s="232">
        <v>88854</v>
      </c>
      <c r="E278" s="224">
        <f t="shared" si="10"/>
        <v>30.639310344827585</v>
      </c>
      <c r="F278" s="363">
        <v>100171</v>
      </c>
      <c r="G278" s="225" t="s">
        <v>612</v>
      </c>
      <c r="H278" s="225"/>
    </row>
    <row r="279" spans="1:9" s="226" customFormat="1" x14ac:dyDescent="0.2">
      <c r="A279" s="230" t="s">
        <v>125</v>
      </c>
      <c r="B279" s="222">
        <v>0</v>
      </c>
      <c r="C279" s="232">
        <v>750000</v>
      </c>
      <c r="D279" s="232">
        <v>693240</v>
      </c>
      <c r="E279" s="224">
        <f t="shared" si="10"/>
        <v>92.432000000000002</v>
      </c>
      <c r="F279" s="363">
        <v>100489</v>
      </c>
      <c r="G279" s="225" t="s">
        <v>612</v>
      </c>
      <c r="H279" s="225"/>
    </row>
    <row r="280" spans="1:9" s="226" customFormat="1" ht="13.5" thickBot="1" x14ac:dyDescent="0.25">
      <c r="A280" s="237" t="s">
        <v>660</v>
      </c>
      <c r="B280" s="238">
        <v>0</v>
      </c>
      <c r="C280" s="239">
        <v>3000</v>
      </c>
      <c r="D280" s="239">
        <v>2400</v>
      </c>
      <c r="E280" s="240">
        <f t="shared" si="10"/>
        <v>80</v>
      </c>
      <c r="F280" s="363">
        <v>100003</v>
      </c>
      <c r="G280" s="226" t="s">
        <v>659</v>
      </c>
      <c r="H280" s="405">
        <f>SUM(C274:C280)</f>
        <v>2749384</v>
      </c>
      <c r="I280" s="405">
        <f>SUM(D274:D280)</f>
        <v>1611829</v>
      </c>
    </row>
    <row r="281" spans="1:9" s="226" customFormat="1" ht="13.5" thickTop="1" x14ac:dyDescent="0.2">
      <c r="A281" s="369"/>
      <c r="B281" s="241"/>
      <c r="C281" s="229"/>
      <c r="D281" s="229"/>
      <c r="E281" s="242"/>
      <c r="F281" s="363"/>
      <c r="G281" s="225"/>
      <c r="H281" s="225"/>
    </row>
    <row r="282" spans="1:9" s="226" customFormat="1" x14ac:dyDescent="0.2">
      <c r="A282" s="369"/>
      <c r="B282" s="241"/>
      <c r="C282" s="229"/>
      <c r="D282" s="229"/>
      <c r="E282" s="242"/>
      <c r="F282" s="363"/>
      <c r="G282" s="225"/>
      <c r="H282" s="225"/>
    </row>
    <row r="283" spans="1:9" ht="15" customHeight="1" thickBot="1" x14ac:dyDescent="0.25">
      <c r="A283" s="247" t="s">
        <v>508</v>
      </c>
      <c r="E283" s="212" t="s">
        <v>27</v>
      </c>
    </row>
    <row r="284" spans="1:9" ht="14.25" thickTop="1" thickBot="1" x14ac:dyDescent="0.25">
      <c r="A284" s="213" t="s">
        <v>14</v>
      </c>
      <c r="B284" s="214" t="s">
        <v>0</v>
      </c>
      <c r="C284" s="215" t="s">
        <v>1</v>
      </c>
      <c r="D284" s="216" t="s">
        <v>13</v>
      </c>
      <c r="E284" s="217" t="s">
        <v>15</v>
      </c>
    </row>
    <row r="285" spans="1:9" ht="15.75" thickTop="1" x14ac:dyDescent="0.2">
      <c r="A285" s="218" t="s">
        <v>20</v>
      </c>
      <c r="B285" s="270">
        <f>SUM(B286:B305)</f>
        <v>42917000</v>
      </c>
      <c r="C285" s="270">
        <f>SUM(C286:C305)</f>
        <v>40275095.959999993</v>
      </c>
      <c r="D285" s="270">
        <f>SUM(D286:D305)</f>
        <v>40275095.959999993</v>
      </c>
      <c r="E285" s="248">
        <f t="shared" ref="E285:E292" si="11">D285/C285*100</f>
        <v>100</v>
      </c>
      <c r="F285" s="209"/>
    </row>
    <row r="286" spans="1:9" x14ac:dyDescent="0.2">
      <c r="A286" s="134" t="s">
        <v>146</v>
      </c>
      <c r="B286" s="360">
        <v>0</v>
      </c>
      <c r="C286" s="150">
        <v>1810011.13</v>
      </c>
      <c r="D286" s="150">
        <v>1810011.13</v>
      </c>
      <c r="E286" s="224">
        <f t="shared" si="11"/>
        <v>100</v>
      </c>
      <c r="F286" s="209"/>
    </row>
    <row r="287" spans="1:9" x14ac:dyDescent="0.2">
      <c r="A287" s="134" t="s">
        <v>147</v>
      </c>
      <c r="B287" s="360">
        <v>3833000</v>
      </c>
      <c r="C287" s="150">
        <v>3833000</v>
      </c>
      <c r="D287" s="150">
        <v>3833000</v>
      </c>
      <c r="E287" s="224">
        <f t="shared" si="11"/>
        <v>100</v>
      </c>
      <c r="F287" s="209"/>
    </row>
    <row r="288" spans="1:9" x14ac:dyDescent="0.2">
      <c r="A288" s="134" t="s">
        <v>148</v>
      </c>
      <c r="B288" s="360">
        <v>1834000</v>
      </c>
      <c r="C288" s="150">
        <v>1834000</v>
      </c>
      <c r="D288" s="150">
        <v>1834000</v>
      </c>
      <c r="E288" s="224">
        <f t="shared" si="11"/>
        <v>100</v>
      </c>
      <c r="F288" s="209"/>
    </row>
    <row r="289" spans="1:8" x14ac:dyDescent="0.2">
      <c r="A289" s="134" t="s">
        <v>149</v>
      </c>
      <c r="B289" s="360">
        <v>3833000</v>
      </c>
      <c r="C289" s="150">
        <v>3833000</v>
      </c>
      <c r="D289" s="150">
        <v>3833000</v>
      </c>
      <c r="E289" s="224">
        <f t="shared" si="11"/>
        <v>100</v>
      </c>
      <c r="F289" s="209"/>
    </row>
    <row r="290" spans="1:8" x14ac:dyDescent="0.2">
      <c r="A290" s="134" t="s">
        <v>150</v>
      </c>
      <c r="B290" s="360">
        <v>2500000</v>
      </c>
      <c r="C290" s="150">
        <v>2500000</v>
      </c>
      <c r="D290" s="150">
        <v>2500000</v>
      </c>
      <c r="E290" s="224">
        <f t="shared" si="11"/>
        <v>100</v>
      </c>
      <c r="F290" s="209"/>
    </row>
    <row r="291" spans="1:8" x14ac:dyDescent="0.2">
      <c r="A291" s="134" t="s">
        <v>151</v>
      </c>
      <c r="B291" s="360">
        <v>1750000</v>
      </c>
      <c r="C291" s="150">
        <v>1750000</v>
      </c>
      <c r="D291" s="150">
        <v>1750000</v>
      </c>
      <c r="E291" s="224">
        <f t="shared" si="11"/>
        <v>100</v>
      </c>
      <c r="F291" s="209"/>
    </row>
    <row r="292" spans="1:8" x14ac:dyDescent="0.2">
      <c r="A292" s="134" t="s">
        <v>152</v>
      </c>
      <c r="B292" s="360">
        <v>1667000</v>
      </c>
      <c r="C292" s="150">
        <v>1667000</v>
      </c>
      <c r="D292" s="150">
        <v>1667000</v>
      </c>
      <c r="E292" s="224">
        <f t="shared" si="11"/>
        <v>100</v>
      </c>
      <c r="F292" s="209"/>
    </row>
    <row r="293" spans="1:8" x14ac:dyDescent="0.2">
      <c r="A293" s="134" t="s">
        <v>509</v>
      </c>
      <c r="B293" s="360">
        <v>4500000</v>
      </c>
      <c r="C293" s="150">
        <v>0</v>
      </c>
      <c r="D293" s="150">
        <v>0</v>
      </c>
      <c r="E293" s="224">
        <v>0</v>
      </c>
      <c r="F293" s="209"/>
    </row>
    <row r="294" spans="1:8" x14ac:dyDescent="0.2">
      <c r="A294" s="134" t="s">
        <v>510</v>
      </c>
      <c r="B294" s="360">
        <v>7500000</v>
      </c>
      <c r="C294" s="150">
        <v>0</v>
      </c>
      <c r="D294" s="150">
        <v>0</v>
      </c>
      <c r="E294" s="224">
        <v>0</v>
      </c>
      <c r="F294" s="209"/>
    </row>
    <row r="295" spans="1:8" x14ac:dyDescent="0.2">
      <c r="A295" s="134" t="s">
        <v>511</v>
      </c>
      <c r="B295" s="360">
        <v>7500000</v>
      </c>
      <c r="C295" s="150">
        <v>0</v>
      </c>
      <c r="D295" s="150">
        <v>0</v>
      </c>
      <c r="E295" s="224">
        <v>0</v>
      </c>
      <c r="F295" s="209"/>
    </row>
    <row r="296" spans="1:8" x14ac:dyDescent="0.2">
      <c r="A296" s="134" t="s">
        <v>512</v>
      </c>
      <c r="B296" s="360">
        <v>8000000</v>
      </c>
      <c r="C296" s="150">
        <v>0</v>
      </c>
      <c r="D296" s="150">
        <v>0</v>
      </c>
      <c r="E296" s="224">
        <v>0</v>
      </c>
      <c r="F296" s="209"/>
    </row>
    <row r="297" spans="1:8" x14ac:dyDescent="0.2">
      <c r="A297" s="134" t="s">
        <v>154</v>
      </c>
      <c r="B297" s="360">
        <v>0</v>
      </c>
      <c r="C297" s="150">
        <v>3083000</v>
      </c>
      <c r="D297" s="150">
        <v>3083000</v>
      </c>
      <c r="E297" s="224">
        <f t="shared" ref="E297:E305" si="12">D297/C297*100</f>
        <v>100</v>
      </c>
      <c r="F297" s="209"/>
    </row>
    <row r="298" spans="1:8" x14ac:dyDescent="0.2">
      <c r="A298" s="134" t="s">
        <v>155</v>
      </c>
      <c r="B298" s="360">
        <v>0</v>
      </c>
      <c r="C298" s="150">
        <v>4333000</v>
      </c>
      <c r="D298" s="150">
        <v>4333000</v>
      </c>
      <c r="E298" s="224">
        <f t="shared" si="12"/>
        <v>100</v>
      </c>
      <c r="F298" s="209"/>
    </row>
    <row r="299" spans="1:8" x14ac:dyDescent="0.2">
      <c r="A299" s="134" t="s">
        <v>156</v>
      </c>
      <c r="B299" s="360">
        <v>0</v>
      </c>
      <c r="C299" s="150">
        <v>3167000</v>
      </c>
      <c r="D299" s="150">
        <v>3167000</v>
      </c>
      <c r="E299" s="224">
        <f t="shared" si="12"/>
        <v>100</v>
      </c>
      <c r="F299" s="209"/>
    </row>
    <row r="300" spans="1:8" x14ac:dyDescent="0.2">
      <c r="A300" s="134" t="s">
        <v>157</v>
      </c>
      <c r="B300" s="360">
        <v>0</v>
      </c>
      <c r="C300" s="150">
        <v>3250000</v>
      </c>
      <c r="D300" s="150">
        <v>3250000</v>
      </c>
      <c r="E300" s="224">
        <f t="shared" si="12"/>
        <v>100</v>
      </c>
      <c r="F300" s="209"/>
    </row>
    <row r="301" spans="1:8" x14ac:dyDescent="0.2">
      <c r="A301" s="134" t="s">
        <v>158</v>
      </c>
      <c r="B301" s="360">
        <v>0</v>
      </c>
      <c r="C301" s="150">
        <v>1667000</v>
      </c>
      <c r="D301" s="150">
        <v>1667000</v>
      </c>
      <c r="E301" s="224">
        <f t="shared" si="12"/>
        <v>100</v>
      </c>
      <c r="F301" s="209"/>
    </row>
    <row r="302" spans="1:8" x14ac:dyDescent="0.2">
      <c r="A302" s="134" t="s">
        <v>159</v>
      </c>
      <c r="B302" s="360">
        <v>0</v>
      </c>
      <c r="C302" s="150">
        <v>2000000</v>
      </c>
      <c r="D302" s="150">
        <v>2000000</v>
      </c>
      <c r="E302" s="224">
        <f t="shared" si="12"/>
        <v>100</v>
      </c>
      <c r="F302" s="209"/>
    </row>
    <row r="303" spans="1:8" x14ac:dyDescent="0.2">
      <c r="A303" s="134" t="s">
        <v>513</v>
      </c>
      <c r="B303" s="360">
        <v>0</v>
      </c>
      <c r="C303" s="150">
        <v>1600000</v>
      </c>
      <c r="D303" s="150">
        <v>1600000</v>
      </c>
      <c r="E303" s="224">
        <f t="shared" si="12"/>
        <v>100</v>
      </c>
      <c r="F303" s="209"/>
    </row>
    <row r="304" spans="1:8" s="280" customFormat="1" x14ac:dyDescent="0.2">
      <c r="A304" s="134" t="s">
        <v>514</v>
      </c>
      <c r="B304" s="360">
        <v>0</v>
      </c>
      <c r="C304" s="279">
        <v>1600000</v>
      </c>
      <c r="D304" s="279">
        <v>1600000</v>
      </c>
      <c r="E304" s="224">
        <f t="shared" si="12"/>
        <v>100</v>
      </c>
      <c r="F304" s="358"/>
      <c r="G304" s="225"/>
      <c r="H304" s="225"/>
    </row>
    <row r="305" spans="1:9" s="280" customFormat="1" ht="13.5" thickBot="1" x14ac:dyDescent="0.25">
      <c r="A305" s="371" t="s">
        <v>153</v>
      </c>
      <c r="B305" s="366">
        <v>0</v>
      </c>
      <c r="C305" s="372">
        <v>2348084.83</v>
      </c>
      <c r="D305" s="372">
        <v>2348084.83</v>
      </c>
      <c r="E305" s="240">
        <f t="shared" si="12"/>
        <v>100</v>
      </c>
      <c r="F305" s="358"/>
      <c r="G305" s="225"/>
      <c r="H305" s="225"/>
    </row>
    <row r="306" spans="1:9" s="138" customFormat="1" ht="13.5" thickTop="1" x14ac:dyDescent="0.2">
      <c r="E306" s="242"/>
      <c r="F306" s="354"/>
      <c r="G306" s="246"/>
      <c r="H306" s="246"/>
    </row>
    <row r="307" spans="1:9" s="137" customFormat="1" ht="18.75" thickBot="1" x14ac:dyDescent="0.3">
      <c r="A307" s="254" t="s">
        <v>201</v>
      </c>
      <c r="B307" s="255">
        <f>SUM(B285,B231)</f>
        <v>139381000</v>
      </c>
      <c r="C307" s="255">
        <f t="shared" ref="C307:D307" si="13">SUM(C285,C231)</f>
        <v>99355501.709999993</v>
      </c>
      <c r="D307" s="255">
        <f t="shared" si="13"/>
        <v>86455241.870000005</v>
      </c>
      <c r="E307" s="256">
        <f>D307/C307*100</f>
        <v>87.016058881516784</v>
      </c>
      <c r="F307" s="418"/>
      <c r="G307" s="257"/>
      <c r="H307" s="257"/>
    </row>
    <row r="308" spans="1:9" s="138" customFormat="1" ht="13.5" thickTop="1" x14ac:dyDescent="0.2">
      <c r="E308" s="242"/>
      <c r="F308" s="354"/>
      <c r="G308" s="246"/>
      <c r="H308" s="246"/>
    </row>
    <row r="309" spans="1:9" s="138" customFormat="1" x14ac:dyDescent="0.2">
      <c r="E309" s="242"/>
      <c r="F309" s="354"/>
      <c r="G309" s="246"/>
      <c r="H309" s="246"/>
    </row>
    <row r="310" spans="1:9" s="138" customFormat="1" x14ac:dyDescent="0.2">
      <c r="E310" s="242"/>
      <c r="F310" s="354"/>
      <c r="G310" s="246"/>
      <c r="H310" s="246"/>
    </row>
    <row r="311" spans="1:9" s="138" customFormat="1" x14ac:dyDescent="0.2">
      <c r="E311" s="242"/>
      <c r="F311" s="354"/>
      <c r="G311" s="246"/>
      <c r="H311" s="246"/>
    </row>
    <row r="312" spans="1:9" s="138" customFormat="1" x14ac:dyDescent="0.2">
      <c r="E312" s="242"/>
      <c r="F312" s="354"/>
      <c r="G312" s="246"/>
      <c r="H312" s="246"/>
    </row>
    <row r="313" spans="1:9" ht="15" customHeight="1" x14ac:dyDescent="0.25">
      <c r="A313" s="208" t="s">
        <v>226</v>
      </c>
    </row>
    <row r="314" spans="1:9" ht="15" customHeight="1" thickBot="1" x14ac:dyDescent="0.3">
      <c r="A314" s="211" t="s">
        <v>183</v>
      </c>
      <c r="E314" s="212" t="s">
        <v>27</v>
      </c>
    </row>
    <row r="315" spans="1:9" ht="14.25" thickTop="1" thickBot="1" x14ac:dyDescent="0.25">
      <c r="A315" s="213" t="s">
        <v>14</v>
      </c>
      <c r="B315" s="214" t="s">
        <v>0</v>
      </c>
      <c r="C315" s="215" t="s">
        <v>1</v>
      </c>
      <c r="D315" s="216" t="s">
        <v>13</v>
      </c>
      <c r="E315" s="217" t="s">
        <v>15</v>
      </c>
    </row>
    <row r="316" spans="1:9" ht="15.75" thickTop="1" x14ac:dyDescent="0.2">
      <c r="A316" s="218" t="s">
        <v>17</v>
      </c>
      <c r="B316" s="270">
        <f>SUM(B317:B344)</f>
        <v>78984000</v>
      </c>
      <c r="C316" s="270">
        <f>SUM(C317:C344)</f>
        <v>18614371.25</v>
      </c>
      <c r="D316" s="270">
        <f>SUM(D317:D344)</f>
        <v>13438564.290000001</v>
      </c>
      <c r="E316" s="248">
        <f>D316/C316*100</f>
        <v>72.194564670026125</v>
      </c>
      <c r="F316" s="209"/>
    </row>
    <row r="317" spans="1:9" x14ac:dyDescent="0.2">
      <c r="A317" s="154" t="s">
        <v>590</v>
      </c>
      <c r="B317" s="285">
        <v>0</v>
      </c>
      <c r="C317" s="271">
        <v>7173536.25</v>
      </c>
      <c r="D317" s="273">
        <v>6629940</v>
      </c>
      <c r="E317" s="224"/>
      <c r="F317" s="357">
        <v>100025</v>
      </c>
      <c r="G317" s="210" t="s">
        <v>612</v>
      </c>
      <c r="H317" s="404">
        <f>C317</f>
        <v>7173536.25</v>
      </c>
      <c r="I317" s="404">
        <f>D317</f>
        <v>6629940</v>
      </c>
    </row>
    <row r="318" spans="1:9" s="207" customFormat="1" x14ac:dyDescent="0.2">
      <c r="A318" s="154" t="s">
        <v>528</v>
      </c>
      <c r="B318" s="285">
        <v>0</v>
      </c>
      <c r="C318" s="271">
        <v>11800</v>
      </c>
      <c r="D318" s="273">
        <v>10800</v>
      </c>
      <c r="E318" s="224">
        <v>0</v>
      </c>
      <c r="F318" s="357">
        <v>100066</v>
      </c>
      <c r="G318" s="202"/>
      <c r="H318" s="202"/>
    </row>
    <row r="319" spans="1:9" s="207" customFormat="1" x14ac:dyDescent="0.2">
      <c r="A319" s="154" t="s">
        <v>313</v>
      </c>
      <c r="B319" s="285">
        <v>3644000</v>
      </c>
      <c r="C319" s="271">
        <v>0</v>
      </c>
      <c r="D319" s="273">
        <v>0</v>
      </c>
      <c r="E319" s="224">
        <v>0</v>
      </c>
      <c r="F319" s="357">
        <v>100198</v>
      </c>
      <c r="G319" s="202"/>
      <c r="H319" s="202"/>
    </row>
    <row r="320" spans="1:9" s="207" customFormat="1" x14ac:dyDescent="0.2">
      <c r="A320" s="195" t="s">
        <v>314</v>
      </c>
      <c r="B320" s="285">
        <v>3038000</v>
      </c>
      <c r="C320" s="271">
        <v>388000</v>
      </c>
      <c r="D320" s="273">
        <v>387648</v>
      </c>
      <c r="E320" s="224">
        <f>D320/C320*100</f>
        <v>99.909278350515464</v>
      </c>
      <c r="F320" s="357">
        <v>100283</v>
      </c>
      <c r="G320" s="202"/>
      <c r="H320" s="202"/>
    </row>
    <row r="321" spans="1:8" s="207" customFormat="1" x14ac:dyDescent="0.2">
      <c r="A321" s="195" t="s">
        <v>589</v>
      </c>
      <c r="B321" s="285">
        <v>650000</v>
      </c>
      <c r="C321" s="271">
        <v>1850000</v>
      </c>
      <c r="D321" s="273">
        <v>0</v>
      </c>
      <c r="E321" s="224">
        <f>D321/C321*100</f>
        <v>0</v>
      </c>
      <c r="F321" s="357">
        <v>100315</v>
      </c>
      <c r="G321" s="202"/>
      <c r="H321" s="202"/>
    </row>
    <row r="322" spans="1:8" s="207" customFormat="1" x14ac:dyDescent="0.2">
      <c r="A322" s="154" t="s">
        <v>315</v>
      </c>
      <c r="B322" s="285">
        <v>4900000</v>
      </c>
      <c r="C322" s="271">
        <v>388200</v>
      </c>
      <c r="D322" s="273">
        <v>137160</v>
      </c>
      <c r="E322" s="224">
        <f>D322/C322*100</f>
        <v>35.332302936630605</v>
      </c>
      <c r="F322" s="357">
        <v>100417</v>
      </c>
      <c r="G322" s="202"/>
      <c r="H322" s="202"/>
    </row>
    <row r="323" spans="1:8" s="207" customFormat="1" x14ac:dyDescent="0.2">
      <c r="A323" s="154" t="s">
        <v>316</v>
      </c>
      <c r="B323" s="285">
        <v>951000</v>
      </c>
      <c r="C323" s="271">
        <v>951200</v>
      </c>
      <c r="D323" s="273">
        <v>195663.2</v>
      </c>
      <c r="E323" s="224">
        <f>D323/C323*100</f>
        <v>20.570142977291844</v>
      </c>
      <c r="F323" s="357">
        <v>100418</v>
      </c>
      <c r="G323" s="202"/>
      <c r="H323" s="202"/>
    </row>
    <row r="324" spans="1:8" s="207" customFormat="1" x14ac:dyDescent="0.2">
      <c r="A324" s="154" t="s">
        <v>317</v>
      </c>
      <c r="B324" s="285">
        <v>3350000</v>
      </c>
      <c r="C324" s="271">
        <v>0</v>
      </c>
      <c r="D324" s="273">
        <v>0</v>
      </c>
      <c r="E324" s="224">
        <v>0</v>
      </c>
      <c r="F324" s="357">
        <v>100420</v>
      </c>
      <c r="G324" s="202"/>
      <c r="H324" s="202"/>
    </row>
    <row r="325" spans="1:8" s="207" customFormat="1" x14ac:dyDescent="0.2">
      <c r="A325" s="154" t="s">
        <v>318</v>
      </c>
      <c r="B325" s="285">
        <v>21920000</v>
      </c>
      <c r="C325" s="271">
        <v>0</v>
      </c>
      <c r="D325" s="273">
        <v>0</v>
      </c>
      <c r="E325" s="224">
        <v>0</v>
      </c>
      <c r="F325" s="357">
        <v>100422</v>
      </c>
      <c r="G325" s="202"/>
      <c r="H325" s="202"/>
    </row>
    <row r="326" spans="1:8" s="207" customFormat="1" x14ac:dyDescent="0.2">
      <c r="A326" s="154" t="s">
        <v>319</v>
      </c>
      <c r="B326" s="285">
        <v>4000000</v>
      </c>
      <c r="C326" s="271">
        <v>4237437</v>
      </c>
      <c r="D326" s="273">
        <v>4237436.99</v>
      </c>
      <c r="E326" s="224">
        <f>D326/C326*100</f>
        <v>99.999999764008294</v>
      </c>
      <c r="F326" s="378">
        <v>100423</v>
      </c>
      <c r="G326" s="202"/>
      <c r="H326" s="202"/>
    </row>
    <row r="327" spans="1:8" s="207" customFormat="1" x14ac:dyDescent="0.2">
      <c r="A327" s="154" t="s">
        <v>320</v>
      </c>
      <c r="B327" s="285">
        <v>17472000</v>
      </c>
      <c r="C327" s="271">
        <v>0</v>
      </c>
      <c r="D327" s="273">
        <v>0</v>
      </c>
      <c r="E327" s="224">
        <v>0</v>
      </c>
      <c r="F327" s="378">
        <v>100424</v>
      </c>
      <c r="G327" s="202"/>
      <c r="H327" s="202"/>
    </row>
    <row r="328" spans="1:8" s="207" customFormat="1" x14ac:dyDescent="0.2">
      <c r="A328" s="154" t="s">
        <v>321</v>
      </c>
      <c r="B328" s="285">
        <v>1494000</v>
      </c>
      <c r="C328" s="271">
        <v>0</v>
      </c>
      <c r="D328" s="273">
        <v>0</v>
      </c>
      <c r="E328" s="224">
        <v>0</v>
      </c>
      <c r="F328" s="378">
        <v>100425</v>
      </c>
      <c r="G328" s="202"/>
      <c r="H328" s="202"/>
    </row>
    <row r="329" spans="1:8" s="207" customFormat="1" x14ac:dyDescent="0.2">
      <c r="A329" s="154" t="s">
        <v>322</v>
      </c>
      <c r="B329" s="285">
        <v>0</v>
      </c>
      <c r="C329" s="271">
        <v>190800</v>
      </c>
      <c r="D329" s="273">
        <v>190800</v>
      </c>
      <c r="E329" s="224">
        <f>D329/C329*100</f>
        <v>100</v>
      </c>
      <c r="F329" s="378">
        <v>100428</v>
      </c>
      <c r="G329" s="202"/>
      <c r="H329" s="202"/>
    </row>
    <row r="330" spans="1:8" s="207" customFormat="1" x14ac:dyDescent="0.2">
      <c r="A330" s="154" t="s">
        <v>515</v>
      </c>
      <c r="B330" s="285">
        <v>100000</v>
      </c>
      <c r="C330" s="271">
        <v>0</v>
      </c>
      <c r="D330" s="273">
        <v>0</v>
      </c>
      <c r="E330" s="224">
        <v>0</v>
      </c>
      <c r="F330" s="357">
        <v>100631</v>
      </c>
      <c r="G330" s="202"/>
      <c r="H330" s="202"/>
    </row>
    <row r="331" spans="1:8" s="207" customFormat="1" x14ac:dyDescent="0.2">
      <c r="A331" s="154" t="s">
        <v>516</v>
      </c>
      <c r="B331" s="285">
        <v>100000</v>
      </c>
      <c r="C331" s="271">
        <v>0</v>
      </c>
      <c r="D331" s="273">
        <v>0</v>
      </c>
      <c r="E331" s="224">
        <v>0</v>
      </c>
      <c r="F331" s="357">
        <v>100632</v>
      </c>
      <c r="G331" s="202"/>
      <c r="H331" s="202"/>
    </row>
    <row r="332" spans="1:8" s="362" customFormat="1" ht="25.5" x14ac:dyDescent="0.2">
      <c r="A332" s="230" t="s">
        <v>517</v>
      </c>
      <c r="B332" s="286">
        <v>150000</v>
      </c>
      <c r="C332" s="275">
        <v>150000</v>
      </c>
      <c r="D332" s="277">
        <v>77400</v>
      </c>
      <c r="E332" s="224">
        <f>D332/C332*100</f>
        <v>51.6</v>
      </c>
      <c r="F332" s="353">
        <v>100633</v>
      </c>
      <c r="G332" s="361"/>
      <c r="H332" s="361"/>
    </row>
    <row r="333" spans="1:8" s="207" customFormat="1" x14ac:dyDescent="0.2">
      <c r="A333" s="261" t="s">
        <v>518</v>
      </c>
      <c r="B333" s="285">
        <v>794000</v>
      </c>
      <c r="C333" s="271">
        <v>0</v>
      </c>
      <c r="D333" s="273">
        <v>0</v>
      </c>
      <c r="E333" s="224">
        <v>0</v>
      </c>
      <c r="F333" s="357">
        <v>100634</v>
      </c>
      <c r="G333" s="202"/>
      <c r="H333" s="202"/>
    </row>
    <row r="334" spans="1:8" s="207" customFormat="1" ht="13.5" customHeight="1" x14ac:dyDescent="0.2">
      <c r="A334" s="261" t="s">
        <v>519</v>
      </c>
      <c r="B334" s="285">
        <v>400000</v>
      </c>
      <c r="C334" s="271">
        <v>503600</v>
      </c>
      <c r="D334" s="273">
        <v>503320.1</v>
      </c>
      <c r="E334" s="224">
        <f>D334/C334*100</f>
        <v>99.94442017474185</v>
      </c>
      <c r="F334" s="357">
        <v>100635</v>
      </c>
      <c r="G334" s="202"/>
      <c r="H334" s="202"/>
    </row>
    <row r="335" spans="1:8" s="161" customFormat="1" x14ac:dyDescent="0.2">
      <c r="A335" s="261" t="s">
        <v>520</v>
      </c>
      <c r="B335" s="281">
        <v>500000</v>
      </c>
      <c r="C335" s="271">
        <v>500000</v>
      </c>
      <c r="D335" s="273">
        <v>0</v>
      </c>
      <c r="E335" s="224">
        <f>D335/C335*100</f>
        <v>0</v>
      </c>
      <c r="F335" s="357">
        <v>100636</v>
      </c>
      <c r="G335" s="210"/>
      <c r="H335" s="210"/>
    </row>
    <row r="336" spans="1:8" s="161" customFormat="1" x14ac:dyDescent="0.2">
      <c r="A336" s="261" t="s">
        <v>521</v>
      </c>
      <c r="B336" s="281">
        <v>100000</v>
      </c>
      <c r="C336" s="271">
        <v>100000</v>
      </c>
      <c r="D336" s="273">
        <v>49998</v>
      </c>
      <c r="E336" s="224">
        <f>D336/C336*100</f>
        <v>49.997999999999998</v>
      </c>
      <c r="F336" s="357">
        <v>100637</v>
      </c>
      <c r="G336" s="210"/>
      <c r="H336" s="210"/>
    </row>
    <row r="337" spans="1:8" s="207" customFormat="1" x14ac:dyDescent="0.2">
      <c r="A337" s="261" t="s">
        <v>522</v>
      </c>
      <c r="B337" s="285">
        <v>226000</v>
      </c>
      <c r="C337" s="271">
        <v>0</v>
      </c>
      <c r="D337" s="273">
        <v>0</v>
      </c>
      <c r="E337" s="224">
        <v>0</v>
      </c>
      <c r="F337" s="357">
        <v>100638</v>
      </c>
      <c r="G337" s="202"/>
      <c r="H337" s="202"/>
    </row>
    <row r="338" spans="1:8" s="226" customFormat="1" ht="25.5" x14ac:dyDescent="0.2">
      <c r="A338" s="230" t="s">
        <v>523</v>
      </c>
      <c r="B338" s="282">
        <v>110000</v>
      </c>
      <c r="C338" s="275">
        <v>0</v>
      </c>
      <c r="D338" s="277">
        <v>0</v>
      </c>
      <c r="E338" s="224">
        <v>0</v>
      </c>
      <c r="F338" s="353">
        <v>100639</v>
      </c>
      <c r="G338" s="225"/>
      <c r="H338" s="225"/>
    </row>
    <row r="339" spans="1:8" s="226" customFormat="1" ht="25.5" x14ac:dyDescent="0.2">
      <c r="A339" s="230" t="s">
        <v>524</v>
      </c>
      <c r="B339" s="282">
        <v>800000</v>
      </c>
      <c r="C339" s="275">
        <v>0</v>
      </c>
      <c r="D339" s="277">
        <v>0</v>
      </c>
      <c r="E339" s="224">
        <v>0</v>
      </c>
      <c r="F339" s="353">
        <v>100640</v>
      </c>
      <c r="G339" s="225"/>
      <c r="H339" s="225"/>
    </row>
    <row r="340" spans="1:8" s="161" customFormat="1" x14ac:dyDescent="0.2">
      <c r="A340" s="154" t="s">
        <v>525</v>
      </c>
      <c r="B340" s="150">
        <v>6585000</v>
      </c>
      <c r="C340" s="273">
        <v>0</v>
      </c>
      <c r="D340" s="273">
        <v>0</v>
      </c>
      <c r="E340" s="224">
        <v>0</v>
      </c>
      <c r="F340" s="357">
        <v>100641</v>
      </c>
      <c r="G340" s="210"/>
      <c r="H340" s="210"/>
    </row>
    <row r="341" spans="1:8" s="161" customFormat="1" x14ac:dyDescent="0.2">
      <c r="A341" s="154" t="s">
        <v>526</v>
      </c>
      <c r="B341" s="150">
        <v>4450000</v>
      </c>
      <c r="C341" s="273">
        <v>0</v>
      </c>
      <c r="D341" s="273">
        <v>0</v>
      </c>
      <c r="E341" s="224">
        <v>0</v>
      </c>
      <c r="F341" s="357">
        <v>100642</v>
      </c>
      <c r="G341" s="210"/>
      <c r="H341" s="210"/>
    </row>
    <row r="342" spans="1:8" s="161" customFormat="1" x14ac:dyDescent="0.2">
      <c r="A342" s="149" t="s">
        <v>143</v>
      </c>
      <c r="B342" s="150">
        <v>2500000</v>
      </c>
      <c r="C342" s="273">
        <v>1018398</v>
      </c>
      <c r="D342" s="273">
        <v>1018398</v>
      </c>
      <c r="E342" s="224">
        <f>D342/C342*100</f>
        <v>100</v>
      </c>
      <c r="F342" s="357">
        <v>100657</v>
      </c>
      <c r="G342" s="210"/>
      <c r="H342" s="210"/>
    </row>
    <row r="343" spans="1:8" s="161" customFormat="1" x14ac:dyDescent="0.2">
      <c r="A343" s="149" t="s">
        <v>527</v>
      </c>
      <c r="B343" s="150">
        <v>0</v>
      </c>
      <c r="C343" s="273">
        <v>1151400</v>
      </c>
      <c r="D343" s="273">
        <v>0</v>
      </c>
      <c r="E343" s="224">
        <v>0</v>
      </c>
      <c r="F343" s="357">
        <v>100691</v>
      </c>
      <c r="G343" s="210"/>
      <c r="H343" s="210"/>
    </row>
    <row r="344" spans="1:8" s="161" customFormat="1" ht="13.5" thickBot="1" x14ac:dyDescent="0.25">
      <c r="A344" s="283" t="s">
        <v>609</v>
      </c>
      <c r="B344" s="252">
        <v>750000</v>
      </c>
      <c r="C344" s="278">
        <v>0</v>
      </c>
      <c r="D344" s="278">
        <v>0</v>
      </c>
      <c r="E344" s="240">
        <v>0</v>
      </c>
      <c r="F344" s="357">
        <v>100571</v>
      </c>
      <c r="G344" s="210" t="s">
        <v>603</v>
      </c>
      <c r="H344" s="210"/>
    </row>
    <row r="345" spans="1:8" ht="13.5" thickTop="1" x14ac:dyDescent="0.2">
      <c r="A345" s="268"/>
      <c r="B345" s="269"/>
      <c r="C345" s="272"/>
      <c r="D345" s="272"/>
      <c r="E345" s="242"/>
      <c r="F345" s="209"/>
    </row>
    <row r="346" spans="1:8" ht="15" customHeight="1" thickBot="1" x14ac:dyDescent="0.25">
      <c r="A346" s="247" t="s">
        <v>243</v>
      </c>
      <c r="E346" s="212" t="s">
        <v>27</v>
      </c>
    </row>
    <row r="347" spans="1:8" ht="14.25" thickTop="1" thickBot="1" x14ac:dyDescent="0.25">
      <c r="A347" s="213" t="s">
        <v>14</v>
      </c>
      <c r="B347" s="214" t="s">
        <v>0</v>
      </c>
      <c r="C347" s="215" t="s">
        <v>1</v>
      </c>
      <c r="D347" s="216" t="s">
        <v>13</v>
      </c>
      <c r="E347" s="217" t="s">
        <v>15</v>
      </c>
    </row>
    <row r="348" spans="1:8" ht="15.75" thickTop="1" x14ac:dyDescent="0.2">
      <c r="A348" s="218" t="s">
        <v>17</v>
      </c>
      <c r="B348" s="270">
        <f>SUM(B349:B369)</f>
        <v>5691000</v>
      </c>
      <c r="C348" s="270">
        <f>SUM(C349:C369)</f>
        <v>6222305</v>
      </c>
      <c r="D348" s="270">
        <f>SUM(D349:D369)</f>
        <v>6217802</v>
      </c>
      <c r="E348" s="248">
        <f>D348/C348*100</f>
        <v>99.927631319904762</v>
      </c>
      <c r="F348" s="209"/>
    </row>
    <row r="349" spans="1:8" s="161" customFormat="1" x14ac:dyDescent="0.2">
      <c r="A349" s="230" t="s">
        <v>529</v>
      </c>
      <c r="B349" s="379">
        <v>800000</v>
      </c>
      <c r="C349" s="155">
        <v>724744</v>
      </c>
      <c r="D349" s="155">
        <v>724744</v>
      </c>
      <c r="E349" s="224">
        <f>D349/C349*100</f>
        <v>100</v>
      </c>
      <c r="F349" s="357"/>
      <c r="G349" s="210"/>
      <c r="H349" s="210"/>
    </row>
    <row r="350" spans="1:8" s="161" customFormat="1" x14ac:dyDescent="0.2">
      <c r="A350" s="230" t="s">
        <v>577</v>
      </c>
      <c r="B350" s="379">
        <v>0</v>
      </c>
      <c r="C350" s="155">
        <v>75256</v>
      </c>
      <c r="D350" s="155">
        <v>75256</v>
      </c>
      <c r="E350" s="224">
        <f t="shared" ref="E350:E367" si="14">D350/C350*100</f>
        <v>100</v>
      </c>
      <c r="F350" s="357"/>
      <c r="G350" s="210"/>
      <c r="H350" s="210"/>
    </row>
    <row r="351" spans="1:8" s="161" customFormat="1" x14ac:dyDescent="0.2">
      <c r="A351" s="230" t="s">
        <v>530</v>
      </c>
      <c r="B351" s="379">
        <v>500000</v>
      </c>
      <c r="C351" s="155">
        <v>500000</v>
      </c>
      <c r="D351" s="155">
        <v>500000</v>
      </c>
      <c r="E351" s="224">
        <f t="shared" si="14"/>
        <v>100</v>
      </c>
      <c r="F351" s="357"/>
      <c r="G351" s="210"/>
      <c r="H351" s="210"/>
    </row>
    <row r="352" spans="1:8" s="161" customFormat="1" x14ac:dyDescent="0.2">
      <c r="A352" s="230" t="s">
        <v>531</v>
      </c>
      <c r="B352" s="379">
        <v>600000</v>
      </c>
      <c r="C352" s="155">
        <f>600000-419000</f>
        <v>181000</v>
      </c>
      <c r="D352" s="155">
        <v>181000</v>
      </c>
      <c r="E352" s="224">
        <f t="shared" si="14"/>
        <v>100</v>
      </c>
      <c r="F352" s="357"/>
      <c r="G352" s="210"/>
      <c r="H352" s="210"/>
    </row>
    <row r="353" spans="1:8" s="161" customFormat="1" x14ac:dyDescent="0.2">
      <c r="A353" s="230" t="s">
        <v>576</v>
      </c>
      <c r="B353" s="379">
        <v>0</v>
      </c>
      <c r="C353" s="155">
        <v>419000</v>
      </c>
      <c r="D353" s="285">
        <v>419000</v>
      </c>
      <c r="E353" s="224">
        <f t="shared" si="14"/>
        <v>100</v>
      </c>
      <c r="F353" s="357"/>
      <c r="G353" s="210"/>
      <c r="H353" s="210"/>
    </row>
    <row r="354" spans="1:8" s="161" customFormat="1" x14ac:dyDescent="0.2">
      <c r="A354" s="230" t="s">
        <v>532</v>
      </c>
      <c r="B354" s="379">
        <v>150000</v>
      </c>
      <c r="C354" s="155">
        <f>150000-14999</f>
        <v>135001</v>
      </c>
      <c r="D354" s="285">
        <f>150000-14999</f>
        <v>135001</v>
      </c>
      <c r="E354" s="224">
        <f t="shared" si="14"/>
        <v>100</v>
      </c>
      <c r="F354" s="357"/>
      <c r="G354" s="210"/>
      <c r="H354" s="210"/>
    </row>
    <row r="355" spans="1:8" s="161" customFormat="1" x14ac:dyDescent="0.2">
      <c r="A355" s="230" t="s">
        <v>533</v>
      </c>
      <c r="B355" s="379">
        <v>70000</v>
      </c>
      <c r="C355" s="90">
        <v>70000</v>
      </c>
      <c r="D355" s="379">
        <v>70000</v>
      </c>
      <c r="E355" s="224">
        <f t="shared" si="14"/>
        <v>100</v>
      </c>
      <c r="F355" s="357"/>
      <c r="G355" s="210"/>
      <c r="H355" s="210"/>
    </row>
    <row r="356" spans="1:8" s="161" customFormat="1" x14ac:dyDescent="0.2">
      <c r="A356" s="230" t="s">
        <v>534</v>
      </c>
      <c r="B356" s="379">
        <v>250000</v>
      </c>
      <c r="C356" s="155">
        <v>250000</v>
      </c>
      <c r="D356" s="285">
        <f>250000-980</f>
        <v>249020</v>
      </c>
      <c r="E356" s="224">
        <f t="shared" si="14"/>
        <v>99.60799999999999</v>
      </c>
      <c r="F356" s="357"/>
      <c r="G356" s="210"/>
      <c r="H356" s="210"/>
    </row>
    <row r="357" spans="1:8" s="161" customFormat="1" x14ac:dyDescent="0.2">
      <c r="A357" s="230" t="s">
        <v>578</v>
      </c>
      <c r="B357" s="379">
        <v>0</v>
      </c>
      <c r="C357" s="155">
        <v>14999</v>
      </c>
      <c r="D357" s="285">
        <v>14999</v>
      </c>
      <c r="E357" s="224">
        <f t="shared" si="14"/>
        <v>100</v>
      </c>
      <c r="F357" s="357"/>
      <c r="G357" s="210"/>
      <c r="H357" s="210"/>
    </row>
    <row r="358" spans="1:8" s="207" customFormat="1" x14ac:dyDescent="0.2">
      <c r="A358" s="230" t="s">
        <v>579</v>
      </c>
      <c r="B358" s="379">
        <v>0</v>
      </c>
      <c r="C358" s="155">
        <f>226000-452</f>
        <v>225548</v>
      </c>
      <c r="D358" s="285">
        <v>225548</v>
      </c>
      <c r="E358" s="224">
        <f t="shared" si="14"/>
        <v>100</v>
      </c>
      <c r="F358" s="357"/>
      <c r="G358" s="202"/>
      <c r="H358" s="202"/>
    </row>
    <row r="359" spans="1:8" s="161" customFormat="1" x14ac:dyDescent="0.2">
      <c r="A359" s="230" t="s">
        <v>535</v>
      </c>
      <c r="B359" s="379">
        <v>500000</v>
      </c>
      <c r="C359" s="155">
        <f>500000-164000</f>
        <v>336000</v>
      </c>
      <c r="D359" s="155">
        <f>500000-1715</f>
        <v>498285</v>
      </c>
      <c r="E359" s="224">
        <f t="shared" si="14"/>
        <v>148.29910714285714</v>
      </c>
      <c r="F359" s="357"/>
      <c r="G359" s="210"/>
      <c r="H359" s="210"/>
    </row>
    <row r="360" spans="1:8" s="161" customFormat="1" x14ac:dyDescent="0.2">
      <c r="A360" s="230" t="s">
        <v>536</v>
      </c>
      <c r="B360" s="379">
        <v>166000</v>
      </c>
      <c r="C360" s="155">
        <f>166000+164000</f>
        <v>330000</v>
      </c>
      <c r="D360" s="155">
        <v>166000</v>
      </c>
      <c r="E360" s="224">
        <f t="shared" si="14"/>
        <v>50.303030303030305</v>
      </c>
      <c r="F360" s="357"/>
      <c r="G360" s="210"/>
      <c r="H360" s="210"/>
    </row>
    <row r="361" spans="1:8" s="161" customFormat="1" x14ac:dyDescent="0.2">
      <c r="A361" s="230" t="s">
        <v>537</v>
      </c>
      <c r="B361" s="379">
        <v>500000</v>
      </c>
      <c r="C361" s="155">
        <v>500000</v>
      </c>
      <c r="D361" s="155">
        <f>500000-1808</f>
        <v>498192</v>
      </c>
      <c r="E361" s="224">
        <f t="shared" si="14"/>
        <v>99.638400000000004</v>
      </c>
      <c r="F361" s="357"/>
      <c r="G361" s="210"/>
      <c r="H361" s="210"/>
    </row>
    <row r="362" spans="1:8" s="161" customFormat="1" x14ac:dyDescent="0.2">
      <c r="A362" s="230" t="s">
        <v>515</v>
      </c>
      <c r="B362" s="379">
        <v>0</v>
      </c>
      <c r="C362" s="155">
        <v>99840</v>
      </c>
      <c r="D362" s="155">
        <f>100000-160</f>
        <v>99840</v>
      </c>
      <c r="E362" s="224">
        <f t="shared" si="14"/>
        <v>100</v>
      </c>
      <c r="F362" s="357"/>
      <c r="G362" s="210"/>
      <c r="H362" s="210"/>
    </row>
    <row r="363" spans="1:8" s="161" customFormat="1" x14ac:dyDescent="0.2">
      <c r="A363" s="230" t="s">
        <v>516</v>
      </c>
      <c r="B363" s="379">
        <v>0</v>
      </c>
      <c r="C363" s="155">
        <v>96000</v>
      </c>
      <c r="D363" s="155">
        <f>100000-4000</f>
        <v>96000</v>
      </c>
      <c r="E363" s="224">
        <f t="shared" si="14"/>
        <v>100</v>
      </c>
      <c r="F363" s="357"/>
      <c r="G363" s="210"/>
      <c r="H363" s="210"/>
    </row>
    <row r="364" spans="1:8" s="161" customFormat="1" x14ac:dyDescent="0.2">
      <c r="A364" s="230" t="s">
        <v>538</v>
      </c>
      <c r="B364" s="379">
        <v>80000</v>
      </c>
      <c r="C364" s="155">
        <v>80000</v>
      </c>
      <c r="D364" s="155">
        <v>80000</v>
      </c>
      <c r="E364" s="224">
        <f t="shared" si="14"/>
        <v>100</v>
      </c>
      <c r="F364" s="357"/>
      <c r="G364" s="210"/>
      <c r="H364" s="210"/>
    </row>
    <row r="365" spans="1:8" s="161" customFormat="1" x14ac:dyDescent="0.2">
      <c r="A365" s="230" t="s">
        <v>539</v>
      </c>
      <c r="B365" s="379">
        <v>400000</v>
      </c>
      <c r="C365" s="155">
        <f>400000-83</f>
        <v>399917</v>
      </c>
      <c r="D365" s="155">
        <f>400000-83</f>
        <v>399917</v>
      </c>
      <c r="E365" s="224">
        <f t="shared" si="14"/>
        <v>100</v>
      </c>
      <c r="F365" s="357"/>
      <c r="G365" s="210"/>
      <c r="H365" s="210"/>
    </row>
    <row r="366" spans="1:8" s="161" customFormat="1" x14ac:dyDescent="0.2">
      <c r="A366" s="230" t="s">
        <v>575</v>
      </c>
      <c r="B366" s="379">
        <v>0</v>
      </c>
      <c r="C366" s="155">
        <v>110000</v>
      </c>
      <c r="D366" s="155">
        <v>110000</v>
      </c>
      <c r="E366" s="224">
        <f t="shared" si="14"/>
        <v>100</v>
      </c>
      <c r="F366" s="357"/>
      <c r="G366" s="210"/>
      <c r="H366" s="210"/>
    </row>
    <row r="367" spans="1:8" s="161" customFormat="1" x14ac:dyDescent="0.2">
      <c r="A367" s="230" t="s">
        <v>540</v>
      </c>
      <c r="B367" s="379">
        <v>175000</v>
      </c>
      <c r="C367" s="155">
        <v>175000</v>
      </c>
      <c r="D367" s="155">
        <v>175000</v>
      </c>
      <c r="E367" s="224">
        <f t="shared" si="14"/>
        <v>100</v>
      </c>
      <c r="F367" s="357"/>
      <c r="G367" s="210"/>
      <c r="H367" s="210"/>
    </row>
    <row r="368" spans="1:8" s="161" customFormat="1" x14ac:dyDescent="0.2">
      <c r="A368" s="230" t="s">
        <v>541</v>
      </c>
      <c r="B368" s="379">
        <v>500000</v>
      </c>
      <c r="C368" s="155">
        <v>500000</v>
      </c>
      <c r="D368" s="155">
        <v>500000</v>
      </c>
      <c r="E368" s="224">
        <f>D368/C368*100</f>
        <v>100</v>
      </c>
      <c r="F368" s="357"/>
      <c r="G368" s="210"/>
      <c r="H368" s="210"/>
    </row>
    <row r="369" spans="1:8" s="207" customFormat="1" ht="13.5" thickBot="1" x14ac:dyDescent="0.25">
      <c r="A369" s="364" t="s">
        <v>580</v>
      </c>
      <c r="B369" s="396">
        <v>1000000</v>
      </c>
      <c r="C369" s="396">
        <v>1000000</v>
      </c>
      <c r="D369" s="396">
        <v>1000000</v>
      </c>
      <c r="E369" s="240">
        <v>0</v>
      </c>
      <c r="F369" s="357"/>
      <c r="G369" s="202"/>
      <c r="H369" s="202"/>
    </row>
    <row r="370" spans="1:8" s="138" customFormat="1" ht="13.5" thickTop="1" x14ac:dyDescent="0.2">
      <c r="B370" s="380"/>
      <c r="C370" s="380"/>
      <c r="D370" s="380"/>
      <c r="E370" s="242"/>
      <c r="F370" s="354"/>
      <c r="G370" s="246"/>
      <c r="H370" s="246"/>
    </row>
    <row r="371" spans="1:8" s="137" customFormat="1" ht="18.75" thickBot="1" x14ac:dyDescent="0.3">
      <c r="A371" s="254" t="s">
        <v>196</v>
      </c>
      <c r="B371" s="255">
        <f>SUM(B348,B316)</f>
        <v>84675000</v>
      </c>
      <c r="C371" s="255">
        <f t="shared" ref="C371:D371" si="15">SUM(C348,C316)</f>
        <v>24836676.25</v>
      </c>
      <c r="D371" s="255">
        <f t="shared" si="15"/>
        <v>19656366.289999999</v>
      </c>
      <c r="E371" s="256">
        <f>D371/C371*100</f>
        <v>79.142499149820821</v>
      </c>
      <c r="F371" s="423"/>
      <c r="G371" s="257"/>
      <c r="H371" s="257"/>
    </row>
    <row r="372" spans="1:8" s="138" customFormat="1" ht="13.5" thickTop="1" x14ac:dyDescent="0.2">
      <c r="E372" s="242"/>
      <c r="F372" s="354"/>
      <c r="G372" s="246"/>
      <c r="H372" s="246"/>
    </row>
    <row r="373" spans="1:8" s="138" customFormat="1" x14ac:dyDescent="0.2">
      <c r="E373" s="242"/>
      <c r="F373" s="354"/>
      <c r="G373" s="246"/>
      <c r="H373" s="246"/>
    </row>
    <row r="374" spans="1:8" ht="15" customHeight="1" x14ac:dyDescent="0.25">
      <c r="A374" s="208" t="s">
        <v>323</v>
      </c>
    </row>
    <row r="375" spans="1:8" ht="15" customHeight="1" thickBot="1" x14ac:dyDescent="0.3">
      <c r="A375" s="211" t="s">
        <v>183</v>
      </c>
      <c r="E375" s="212" t="s">
        <v>27</v>
      </c>
    </row>
    <row r="376" spans="1:8" ht="14.25" thickTop="1" thickBot="1" x14ac:dyDescent="0.25">
      <c r="A376" s="213" t="s">
        <v>14</v>
      </c>
      <c r="B376" s="214" t="s">
        <v>0</v>
      </c>
      <c r="C376" s="215" t="s">
        <v>1</v>
      </c>
      <c r="D376" s="216" t="s">
        <v>13</v>
      </c>
      <c r="E376" s="217" t="s">
        <v>15</v>
      </c>
    </row>
    <row r="377" spans="1:8" ht="15.75" thickTop="1" x14ac:dyDescent="0.2">
      <c r="A377" s="218" t="s">
        <v>19</v>
      </c>
      <c r="B377" s="270">
        <f>SUM(B378:B399)</f>
        <v>20624000</v>
      </c>
      <c r="C377" s="270">
        <f>SUM(C378:C399)</f>
        <v>9495450</v>
      </c>
      <c r="D377" s="270">
        <f>SUM(D378:D399)</f>
        <v>5437371.2000000002</v>
      </c>
      <c r="E377" s="224">
        <f>D377/C377*100</f>
        <v>57.262912236913465</v>
      </c>
      <c r="F377" s="209"/>
    </row>
    <row r="378" spans="1:8" s="385" customFormat="1" x14ac:dyDescent="0.2">
      <c r="A378" s="154" t="s">
        <v>324</v>
      </c>
      <c r="B378" s="285">
        <v>10000</v>
      </c>
      <c r="C378" s="285">
        <v>4320</v>
      </c>
      <c r="D378" s="285">
        <v>4320</v>
      </c>
      <c r="E378" s="224">
        <f>D378/C378*100</f>
        <v>100</v>
      </c>
      <c r="F378" s="355">
        <v>100080</v>
      </c>
      <c r="G378" s="383"/>
      <c r="H378" s="384"/>
    </row>
    <row r="379" spans="1:8" s="387" customFormat="1" x14ac:dyDescent="0.2">
      <c r="A379" s="230" t="s">
        <v>551</v>
      </c>
      <c r="B379" s="286">
        <v>767000</v>
      </c>
      <c r="C379" s="286">
        <v>0</v>
      </c>
      <c r="D379" s="286">
        <v>0</v>
      </c>
      <c r="E379" s="224">
        <v>0</v>
      </c>
      <c r="F379" s="363">
        <v>100301</v>
      </c>
      <c r="G379" s="386"/>
      <c r="H379" s="386"/>
    </row>
    <row r="380" spans="1:8" s="387" customFormat="1" ht="25.5" x14ac:dyDescent="0.2">
      <c r="A380" s="230" t="s">
        <v>325</v>
      </c>
      <c r="B380" s="286">
        <v>400000</v>
      </c>
      <c r="C380" s="286">
        <v>307200</v>
      </c>
      <c r="D380" s="286">
        <v>307200</v>
      </c>
      <c r="E380" s="224">
        <f t="shared" ref="E380:E399" si="16">D380/C380*100</f>
        <v>100</v>
      </c>
      <c r="F380" s="363">
        <v>100432</v>
      </c>
      <c r="G380" s="386"/>
      <c r="H380" s="386"/>
    </row>
    <row r="381" spans="1:8" s="387" customFormat="1" ht="25.5" x14ac:dyDescent="0.2">
      <c r="A381" s="230" t="s">
        <v>326</v>
      </c>
      <c r="B381" s="286">
        <v>2934000</v>
      </c>
      <c r="C381" s="286">
        <v>1434000</v>
      </c>
      <c r="D381" s="286">
        <v>1433440</v>
      </c>
      <c r="E381" s="224">
        <f t="shared" si="16"/>
        <v>99.960948396094835</v>
      </c>
      <c r="F381" s="381">
        <v>100542</v>
      </c>
      <c r="G381" s="386"/>
      <c r="H381" s="386"/>
    </row>
    <row r="382" spans="1:8" s="385" customFormat="1" x14ac:dyDescent="0.2">
      <c r="A382" s="154" t="s">
        <v>327</v>
      </c>
      <c r="B382" s="285">
        <v>3813000</v>
      </c>
      <c r="C382" s="285">
        <v>312343.2</v>
      </c>
      <c r="D382" s="285">
        <v>312343.2</v>
      </c>
      <c r="E382" s="224">
        <f t="shared" si="16"/>
        <v>100</v>
      </c>
      <c r="F382" s="355">
        <v>100572</v>
      </c>
      <c r="G382" s="384"/>
      <c r="H382" s="384"/>
    </row>
    <row r="383" spans="1:8" s="385" customFormat="1" x14ac:dyDescent="0.2">
      <c r="A383" s="154" t="s">
        <v>546</v>
      </c>
      <c r="B383" s="155">
        <v>450000</v>
      </c>
      <c r="C383" s="285">
        <v>537600</v>
      </c>
      <c r="D383" s="285">
        <v>537600</v>
      </c>
      <c r="E383" s="224">
        <f t="shared" si="16"/>
        <v>100</v>
      </c>
      <c r="F383" s="355">
        <v>100649</v>
      </c>
      <c r="G383" s="384"/>
      <c r="H383" s="384"/>
    </row>
    <row r="384" spans="1:8" s="250" customFormat="1" x14ac:dyDescent="0.2">
      <c r="A384" s="154" t="s">
        <v>547</v>
      </c>
      <c r="B384" s="150">
        <v>150000</v>
      </c>
      <c r="C384" s="285">
        <v>176400</v>
      </c>
      <c r="D384" s="285">
        <v>176400</v>
      </c>
      <c r="E384" s="224">
        <f t="shared" si="16"/>
        <v>100</v>
      </c>
      <c r="F384" s="355">
        <v>100650</v>
      </c>
      <c r="G384" s="249"/>
      <c r="H384" s="249"/>
    </row>
    <row r="385" spans="1:9" s="250" customFormat="1" x14ac:dyDescent="0.2">
      <c r="A385" s="154" t="s">
        <v>548</v>
      </c>
      <c r="B385" s="150">
        <v>150000</v>
      </c>
      <c r="C385" s="285">
        <v>146400</v>
      </c>
      <c r="D385" s="285">
        <v>146400</v>
      </c>
      <c r="E385" s="224">
        <f t="shared" si="16"/>
        <v>100</v>
      </c>
      <c r="F385" s="355">
        <v>100651</v>
      </c>
      <c r="G385" s="249"/>
      <c r="H385" s="249"/>
    </row>
    <row r="386" spans="1:9" s="250" customFormat="1" x14ac:dyDescent="0.2">
      <c r="A386" s="154" t="s">
        <v>549</v>
      </c>
      <c r="B386" s="150">
        <v>2700000</v>
      </c>
      <c r="C386" s="285">
        <v>888736.8</v>
      </c>
      <c r="D386" s="285">
        <v>871927</v>
      </c>
      <c r="E386" s="224">
        <f t="shared" si="16"/>
        <v>98.108573876990349</v>
      </c>
      <c r="F386" s="355">
        <v>100652</v>
      </c>
      <c r="G386" s="249"/>
      <c r="H386" s="249"/>
    </row>
    <row r="387" spans="1:9" s="288" customFormat="1" ht="25.5" x14ac:dyDescent="0.2">
      <c r="A387" s="230" t="s">
        <v>550</v>
      </c>
      <c r="B387" s="279">
        <v>9250000</v>
      </c>
      <c r="C387" s="286">
        <v>0</v>
      </c>
      <c r="D387" s="286">
        <v>0</v>
      </c>
      <c r="E387" s="224">
        <v>0</v>
      </c>
      <c r="F387" s="381">
        <v>100653</v>
      </c>
      <c r="G387" s="287"/>
      <c r="H387" s="287"/>
    </row>
    <row r="388" spans="1:9" s="288" customFormat="1" x14ac:dyDescent="0.2">
      <c r="A388" s="230" t="s">
        <v>637</v>
      </c>
      <c r="B388" s="279">
        <v>0</v>
      </c>
      <c r="C388" s="286">
        <v>58400</v>
      </c>
      <c r="D388" s="286">
        <v>40900</v>
      </c>
      <c r="E388" s="224">
        <f t="shared" si="16"/>
        <v>70.034246575342465</v>
      </c>
      <c r="F388" s="381">
        <v>100015</v>
      </c>
      <c r="G388" s="287" t="s">
        <v>612</v>
      </c>
      <c r="H388" s="287"/>
    </row>
    <row r="389" spans="1:9" s="288" customFormat="1" x14ac:dyDescent="0.2">
      <c r="A389" s="230" t="s">
        <v>638</v>
      </c>
      <c r="B389" s="279">
        <v>0</v>
      </c>
      <c r="C389" s="286">
        <v>1000</v>
      </c>
      <c r="D389" s="286">
        <v>0</v>
      </c>
      <c r="E389" s="224">
        <f t="shared" si="16"/>
        <v>0</v>
      </c>
      <c r="F389" s="381">
        <v>100132</v>
      </c>
      <c r="G389" s="287" t="s">
        <v>612</v>
      </c>
      <c r="H389" s="287"/>
    </row>
    <row r="390" spans="1:9" s="288" customFormat="1" x14ac:dyDescent="0.2">
      <c r="A390" s="230" t="s">
        <v>639</v>
      </c>
      <c r="B390" s="279">
        <v>0</v>
      </c>
      <c r="C390" s="286">
        <v>86000</v>
      </c>
      <c r="D390" s="286">
        <v>67980</v>
      </c>
      <c r="E390" s="224">
        <f t="shared" si="16"/>
        <v>79.04651162790698</v>
      </c>
      <c r="F390" s="381">
        <v>100560</v>
      </c>
      <c r="G390" s="287" t="s">
        <v>612</v>
      </c>
      <c r="H390" s="287"/>
    </row>
    <row r="391" spans="1:9" s="288" customFormat="1" ht="13.5" thickBot="1" x14ac:dyDescent="0.25">
      <c r="A391" s="364" t="s">
        <v>640</v>
      </c>
      <c r="B391" s="372">
        <v>0</v>
      </c>
      <c r="C391" s="426">
        <v>1500000</v>
      </c>
      <c r="D391" s="426">
        <v>550282</v>
      </c>
      <c r="E391" s="240">
        <f t="shared" si="16"/>
        <v>36.685466666666663</v>
      </c>
      <c r="F391" s="381">
        <v>100660</v>
      </c>
      <c r="G391" s="287" t="s">
        <v>612</v>
      </c>
      <c r="H391" s="287"/>
    </row>
    <row r="392" spans="1:9" s="244" customFormat="1" ht="16.5" thickTop="1" thickBot="1" x14ac:dyDescent="0.3">
      <c r="A392" s="211"/>
      <c r="B392" s="117"/>
      <c r="C392" s="117"/>
      <c r="D392" s="115"/>
      <c r="E392" s="212" t="s">
        <v>27</v>
      </c>
      <c r="F392" s="363"/>
      <c r="G392" s="243"/>
      <c r="H392" s="243"/>
    </row>
    <row r="393" spans="1:9" s="244" customFormat="1" ht="14.25" thickTop="1" thickBot="1" x14ac:dyDescent="0.25">
      <c r="A393" s="213" t="s">
        <v>14</v>
      </c>
      <c r="B393" s="214" t="s">
        <v>0</v>
      </c>
      <c r="C393" s="215" t="s">
        <v>1</v>
      </c>
      <c r="D393" s="216" t="s">
        <v>13</v>
      </c>
      <c r="E393" s="217" t="s">
        <v>15</v>
      </c>
      <c r="F393" s="363"/>
      <c r="G393" s="243"/>
      <c r="H393" s="243"/>
    </row>
    <row r="394" spans="1:9" s="288" customFormat="1" ht="26.25" thickTop="1" x14ac:dyDescent="0.2">
      <c r="A394" s="230" t="s">
        <v>641</v>
      </c>
      <c r="B394" s="279">
        <v>0</v>
      </c>
      <c r="C394" s="286">
        <v>400000</v>
      </c>
      <c r="D394" s="286">
        <v>266779</v>
      </c>
      <c r="E394" s="224">
        <f t="shared" si="16"/>
        <v>66.694749999999999</v>
      </c>
      <c r="F394" s="381">
        <v>100664</v>
      </c>
      <c r="G394" s="287" t="s">
        <v>612</v>
      </c>
      <c r="H394" s="287"/>
    </row>
    <row r="395" spans="1:9" s="288" customFormat="1" x14ac:dyDescent="0.2">
      <c r="A395" s="230" t="s">
        <v>642</v>
      </c>
      <c r="B395" s="279">
        <v>0</v>
      </c>
      <c r="C395" s="286">
        <v>400000</v>
      </c>
      <c r="D395" s="286">
        <v>287400</v>
      </c>
      <c r="E395" s="224">
        <f t="shared" si="16"/>
        <v>71.850000000000009</v>
      </c>
      <c r="F395" s="381">
        <v>100665</v>
      </c>
      <c r="G395" s="287" t="s">
        <v>612</v>
      </c>
      <c r="H395" s="287"/>
    </row>
    <row r="396" spans="1:9" s="288" customFormat="1" ht="25.5" x14ac:dyDescent="0.2">
      <c r="A396" s="230" t="s">
        <v>643</v>
      </c>
      <c r="B396" s="279">
        <v>0</v>
      </c>
      <c r="C396" s="286">
        <v>400000</v>
      </c>
      <c r="D396" s="286">
        <v>148560</v>
      </c>
      <c r="E396" s="224">
        <f t="shared" si="16"/>
        <v>37.14</v>
      </c>
      <c r="F396" s="381">
        <v>100666</v>
      </c>
      <c r="G396" s="287" t="s">
        <v>612</v>
      </c>
      <c r="H396" s="287"/>
    </row>
    <row r="397" spans="1:9" s="288" customFormat="1" ht="25.5" x14ac:dyDescent="0.2">
      <c r="A397" s="230" t="s">
        <v>644</v>
      </c>
      <c r="B397" s="279">
        <v>0</v>
      </c>
      <c r="C397" s="286">
        <v>343050</v>
      </c>
      <c r="D397" s="286">
        <v>80640</v>
      </c>
      <c r="E397" s="224">
        <f t="shared" si="16"/>
        <v>23.506777437691298</v>
      </c>
      <c r="F397" s="381">
        <v>100667</v>
      </c>
      <c r="G397" s="287" t="s">
        <v>612</v>
      </c>
      <c r="H397" s="287"/>
    </row>
    <row r="398" spans="1:9" s="288" customFormat="1" x14ac:dyDescent="0.2">
      <c r="A398" s="230" t="s">
        <v>645</v>
      </c>
      <c r="B398" s="279">
        <v>0</v>
      </c>
      <c r="C398" s="286">
        <v>1000000</v>
      </c>
      <c r="D398" s="286">
        <v>86400</v>
      </c>
      <c r="E398" s="224">
        <f t="shared" si="16"/>
        <v>8.64</v>
      </c>
      <c r="F398" s="381">
        <v>100669</v>
      </c>
      <c r="G398" s="287" t="s">
        <v>612</v>
      </c>
      <c r="H398" s="287"/>
    </row>
    <row r="399" spans="1:9" s="288" customFormat="1" x14ac:dyDescent="0.2">
      <c r="A399" s="230" t="s">
        <v>646</v>
      </c>
      <c r="B399" s="279">
        <v>0</v>
      </c>
      <c r="C399" s="286">
        <v>1500000</v>
      </c>
      <c r="D399" s="286">
        <v>118800</v>
      </c>
      <c r="E399" s="224">
        <f t="shared" si="16"/>
        <v>7.9200000000000008</v>
      </c>
      <c r="F399" s="381">
        <v>100670</v>
      </c>
      <c r="G399" s="287" t="s">
        <v>612</v>
      </c>
      <c r="H399" s="406">
        <f>SUM(C388:C399)</f>
        <v>5688450</v>
      </c>
      <c r="I399" s="406">
        <f>SUM(D388:D399)</f>
        <v>1647741</v>
      </c>
    </row>
    <row r="400" spans="1:9" s="288" customFormat="1" x14ac:dyDescent="0.2">
      <c r="A400" s="230"/>
      <c r="B400" s="279"/>
      <c r="C400" s="286"/>
      <c r="D400" s="286"/>
      <c r="E400" s="224"/>
      <c r="F400" s="381"/>
      <c r="G400" s="287"/>
      <c r="H400" s="287"/>
    </row>
    <row r="401" spans="1:8" s="250" customFormat="1" x14ac:dyDescent="0.2">
      <c r="A401" s="154"/>
      <c r="B401" s="150"/>
      <c r="C401" s="285"/>
      <c r="D401" s="285"/>
      <c r="E401" s="224"/>
      <c r="F401" s="355"/>
      <c r="G401" s="249"/>
      <c r="H401" s="249"/>
    </row>
    <row r="402" spans="1:8" ht="15" x14ac:dyDescent="0.2">
      <c r="A402" s="218" t="s">
        <v>328</v>
      </c>
      <c r="B402" s="270">
        <f>SUM(B403:B407)</f>
        <v>26628000</v>
      </c>
      <c r="C402" s="219">
        <f>SUM(C403:C407)</f>
        <v>28268924.300000001</v>
      </c>
      <c r="D402" s="219">
        <f>SUM(D403:D407)</f>
        <v>28249835</v>
      </c>
      <c r="E402" s="224">
        <f t="shared" ref="E402:E407" si="17">D402/C402*100</f>
        <v>99.932472492418114</v>
      </c>
      <c r="F402" s="209"/>
    </row>
    <row r="403" spans="1:8" x14ac:dyDescent="0.2">
      <c r="A403" s="154" t="s">
        <v>552</v>
      </c>
      <c r="B403" s="281">
        <v>5584000</v>
      </c>
      <c r="C403" s="273">
        <v>6055676</v>
      </c>
      <c r="D403" s="273">
        <v>6055675</v>
      </c>
      <c r="E403" s="224">
        <f t="shared" si="17"/>
        <v>99.999983486566975</v>
      </c>
      <c r="F403" s="357">
        <v>100577</v>
      </c>
    </row>
    <row r="404" spans="1:8" s="390" customFormat="1" ht="25.5" x14ac:dyDescent="0.2">
      <c r="A404" s="227" t="s">
        <v>553</v>
      </c>
      <c r="B404" s="282">
        <v>1500000</v>
      </c>
      <c r="C404" s="277">
        <v>1715530</v>
      </c>
      <c r="D404" s="277">
        <v>1696442</v>
      </c>
      <c r="E404" s="388">
        <f t="shared" si="17"/>
        <v>98.887340938368894</v>
      </c>
      <c r="F404" s="353">
        <v>100578</v>
      </c>
      <c r="G404" s="389"/>
      <c r="H404" s="389"/>
    </row>
    <row r="405" spans="1:8" x14ac:dyDescent="0.2">
      <c r="A405" s="154" t="s">
        <v>554</v>
      </c>
      <c r="B405" s="281">
        <v>9500000</v>
      </c>
      <c r="C405" s="273">
        <v>4415999</v>
      </c>
      <c r="D405" s="273">
        <v>4415999</v>
      </c>
      <c r="E405" s="224">
        <f t="shared" si="17"/>
        <v>100</v>
      </c>
      <c r="F405" s="357">
        <v>100579</v>
      </c>
    </row>
    <row r="406" spans="1:8" x14ac:dyDescent="0.2">
      <c r="A406" s="154" t="s">
        <v>555</v>
      </c>
      <c r="B406" s="281">
        <v>9500000</v>
      </c>
      <c r="C406" s="273">
        <v>16081719.300000001</v>
      </c>
      <c r="D406" s="273">
        <v>16081719</v>
      </c>
      <c r="E406" s="224">
        <f t="shared" si="17"/>
        <v>99.999998134527814</v>
      </c>
      <c r="F406" s="357">
        <v>100654</v>
      </c>
    </row>
    <row r="407" spans="1:8" ht="13.5" thickBot="1" x14ac:dyDescent="0.25">
      <c r="A407" s="251" t="s">
        <v>556</v>
      </c>
      <c r="B407" s="252">
        <v>544000</v>
      </c>
      <c r="C407" s="278">
        <v>0</v>
      </c>
      <c r="D407" s="278">
        <v>0</v>
      </c>
      <c r="E407" s="240" t="e">
        <f t="shared" si="17"/>
        <v>#DIV/0!</v>
      </c>
      <c r="F407" s="357">
        <v>100655</v>
      </c>
    </row>
    <row r="408" spans="1:8" s="138" customFormat="1" ht="13.5" thickTop="1" x14ac:dyDescent="0.2">
      <c r="E408" s="242"/>
      <c r="F408" s="354"/>
      <c r="G408" s="246"/>
      <c r="H408" s="246"/>
    </row>
    <row r="409" spans="1:8" ht="15" customHeight="1" thickBot="1" x14ac:dyDescent="0.25">
      <c r="A409" s="247" t="s">
        <v>243</v>
      </c>
      <c r="E409" s="212" t="s">
        <v>27</v>
      </c>
    </row>
    <row r="410" spans="1:8" ht="14.25" thickTop="1" thickBot="1" x14ac:dyDescent="0.25">
      <c r="A410" s="213" t="s">
        <v>14</v>
      </c>
      <c r="B410" s="214" t="s">
        <v>0</v>
      </c>
      <c r="C410" s="215" t="s">
        <v>1</v>
      </c>
      <c r="D410" s="216" t="s">
        <v>13</v>
      </c>
      <c r="E410" s="217" t="s">
        <v>15</v>
      </c>
    </row>
    <row r="411" spans="1:8" ht="15.75" thickTop="1" x14ac:dyDescent="0.2">
      <c r="A411" s="218" t="s">
        <v>19</v>
      </c>
      <c r="B411" s="270">
        <f>SUM(B412:B420)</f>
        <v>3200000</v>
      </c>
      <c r="C411" s="270">
        <f>SUM(C412:C420)</f>
        <v>5516640.5999999996</v>
      </c>
      <c r="D411" s="270">
        <f>SUM(D412:D420)</f>
        <v>5516640.5999999996</v>
      </c>
      <c r="E411" s="248">
        <f>D411/C411*100</f>
        <v>100</v>
      </c>
      <c r="F411" s="209"/>
    </row>
    <row r="412" spans="1:8" s="161" customFormat="1" x14ac:dyDescent="0.2">
      <c r="A412" s="154" t="s">
        <v>557</v>
      </c>
      <c r="B412" s="150">
        <v>200000</v>
      </c>
      <c r="C412" s="155">
        <f>200000-23959.4</f>
        <v>176040.6</v>
      </c>
      <c r="D412" s="155">
        <f>200000-23959.4</f>
        <v>176040.6</v>
      </c>
      <c r="E412" s="224">
        <f t="shared" ref="E412:E417" si="18">D412/C412*100</f>
        <v>100</v>
      </c>
      <c r="F412" s="357"/>
      <c r="G412" s="210" t="s">
        <v>653</v>
      </c>
      <c r="H412" s="210"/>
    </row>
    <row r="413" spans="1:8" s="161" customFormat="1" x14ac:dyDescent="0.2">
      <c r="A413" s="154" t="s">
        <v>648</v>
      </c>
      <c r="B413" s="150">
        <v>0</v>
      </c>
      <c r="C413" s="155">
        <v>167000</v>
      </c>
      <c r="D413" s="155">
        <v>167000</v>
      </c>
      <c r="E413" s="224">
        <f t="shared" si="18"/>
        <v>100</v>
      </c>
      <c r="F413" s="357"/>
      <c r="G413" s="210" t="s">
        <v>653</v>
      </c>
      <c r="H413" s="210"/>
    </row>
    <row r="414" spans="1:8" s="226" customFormat="1" ht="25.5" x14ac:dyDescent="0.2">
      <c r="A414" s="408" t="s">
        <v>649</v>
      </c>
      <c r="B414" s="279">
        <v>0</v>
      </c>
      <c r="C414" s="360">
        <v>370000</v>
      </c>
      <c r="D414" s="360">
        <v>370000</v>
      </c>
      <c r="E414" s="224">
        <f t="shared" si="18"/>
        <v>100</v>
      </c>
      <c r="F414" s="353"/>
      <c r="G414" s="210" t="s">
        <v>653</v>
      </c>
      <c r="H414" s="225"/>
    </row>
    <row r="415" spans="1:8" s="161" customFormat="1" x14ac:dyDescent="0.2">
      <c r="A415" s="154" t="s">
        <v>650</v>
      </c>
      <c r="B415" s="150">
        <v>0</v>
      </c>
      <c r="C415" s="155">
        <v>500000</v>
      </c>
      <c r="D415" s="155">
        <v>500000</v>
      </c>
      <c r="E415" s="224">
        <f t="shared" si="18"/>
        <v>100</v>
      </c>
      <c r="F415" s="357"/>
      <c r="G415" s="210" t="s">
        <v>653</v>
      </c>
      <c r="H415" s="210"/>
    </row>
    <row r="416" spans="1:8" s="161" customFormat="1" x14ac:dyDescent="0.2">
      <c r="A416" s="154" t="s">
        <v>558</v>
      </c>
      <c r="B416" s="150">
        <v>250000</v>
      </c>
      <c r="C416" s="150">
        <v>250000</v>
      </c>
      <c r="D416" s="150">
        <v>250000</v>
      </c>
      <c r="E416" s="224">
        <f t="shared" si="18"/>
        <v>100</v>
      </c>
      <c r="F416" s="357"/>
      <c r="G416" s="210" t="s">
        <v>653</v>
      </c>
      <c r="H416" s="210"/>
    </row>
    <row r="417" spans="1:9" s="161" customFormat="1" ht="25.5" x14ac:dyDescent="0.2">
      <c r="A417" s="261" t="s">
        <v>651</v>
      </c>
      <c r="B417" s="150">
        <v>0</v>
      </c>
      <c r="C417" s="150">
        <v>120000</v>
      </c>
      <c r="D417" s="150">
        <v>120000</v>
      </c>
      <c r="E417" s="224">
        <f t="shared" si="18"/>
        <v>100</v>
      </c>
      <c r="F417" s="357"/>
      <c r="G417" s="210" t="s">
        <v>653</v>
      </c>
      <c r="H417" s="210"/>
    </row>
    <row r="418" spans="1:9" s="161" customFormat="1" x14ac:dyDescent="0.2">
      <c r="A418" s="284" t="s">
        <v>559</v>
      </c>
      <c r="B418" s="150">
        <v>2750000</v>
      </c>
      <c r="C418" s="150">
        <v>2750000</v>
      </c>
      <c r="D418" s="150">
        <v>2750000</v>
      </c>
      <c r="E418" s="224">
        <f>D418/C418*100</f>
        <v>100</v>
      </c>
      <c r="F418" s="357"/>
      <c r="G418" s="210" t="s">
        <v>653</v>
      </c>
      <c r="H418" s="210"/>
    </row>
    <row r="419" spans="1:9" s="161" customFormat="1" x14ac:dyDescent="0.2">
      <c r="A419" s="284" t="s">
        <v>652</v>
      </c>
      <c r="B419" s="150">
        <v>0</v>
      </c>
      <c r="C419" s="155">
        <v>550000</v>
      </c>
      <c r="D419" s="155">
        <v>550000</v>
      </c>
      <c r="E419" s="224">
        <f>D419/C419*100</f>
        <v>100</v>
      </c>
      <c r="F419" s="357"/>
      <c r="G419" s="210" t="s">
        <v>653</v>
      </c>
      <c r="H419" s="210"/>
    </row>
    <row r="420" spans="1:9" s="161" customFormat="1" ht="13.5" thickBot="1" x14ac:dyDescent="0.25">
      <c r="A420" s="410" t="s">
        <v>655</v>
      </c>
      <c r="B420" s="252">
        <v>0</v>
      </c>
      <c r="C420" s="396">
        <v>633600</v>
      </c>
      <c r="D420" s="396">
        <v>633600</v>
      </c>
      <c r="E420" s="240">
        <f>D420/C420*100</f>
        <v>100</v>
      </c>
      <c r="F420" s="357"/>
      <c r="G420" s="409" t="s">
        <v>654</v>
      </c>
      <c r="H420" s="210"/>
    </row>
    <row r="421" spans="1:9" s="138" customFormat="1" ht="13.5" thickTop="1" x14ac:dyDescent="0.2">
      <c r="B421" s="380"/>
      <c r="C421" s="380"/>
      <c r="D421" s="380"/>
      <c r="E421" s="242"/>
      <c r="F421" s="354"/>
      <c r="G421" s="246"/>
      <c r="H421" s="246"/>
    </row>
    <row r="422" spans="1:9" s="137" customFormat="1" ht="18.75" thickBot="1" x14ac:dyDescent="0.3">
      <c r="A422" s="254" t="s">
        <v>198</v>
      </c>
      <c r="B422" s="255">
        <f>SUM(B411,B402,B377)</f>
        <v>50452000</v>
      </c>
      <c r="C422" s="255">
        <f t="shared" ref="C422:D422" si="19">SUM(C411,C402,C377)</f>
        <v>43281014.899999999</v>
      </c>
      <c r="D422" s="255">
        <f t="shared" si="19"/>
        <v>39203846.800000004</v>
      </c>
      <c r="E422" s="256">
        <f>D422/C422*100</f>
        <v>90.579777046771625</v>
      </c>
      <c r="F422" s="201"/>
      <c r="G422" s="257"/>
      <c r="H422" s="257"/>
    </row>
    <row r="423" spans="1:9" s="138" customFormat="1" ht="13.5" thickTop="1" x14ac:dyDescent="0.2">
      <c r="E423" s="242"/>
      <c r="F423" s="354"/>
      <c r="G423" s="246"/>
      <c r="H423" s="246"/>
    </row>
    <row r="424" spans="1:9" s="138" customFormat="1" x14ac:dyDescent="0.2">
      <c r="E424" s="242"/>
      <c r="F424" s="354"/>
      <c r="G424" s="246"/>
      <c r="H424" s="246"/>
    </row>
    <row r="425" spans="1:9" s="38" customFormat="1" ht="18.75" customHeight="1" x14ac:dyDescent="0.25">
      <c r="A425" s="26" t="s">
        <v>200</v>
      </c>
      <c r="B425" s="40"/>
      <c r="C425" s="40"/>
      <c r="D425" s="40"/>
      <c r="E425" s="40"/>
      <c r="F425" s="37"/>
      <c r="H425" s="39"/>
    </row>
    <row r="426" spans="1:9" ht="15" customHeight="1" thickBot="1" x14ac:dyDescent="0.3">
      <c r="A426" s="211" t="s">
        <v>183</v>
      </c>
      <c r="E426" s="212" t="s">
        <v>27</v>
      </c>
    </row>
    <row r="427" spans="1:9" ht="14.25" thickTop="1" thickBot="1" x14ac:dyDescent="0.25">
      <c r="A427" s="213" t="s">
        <v>14</v>
      </c>
      <c r="B427" s="214" t="s">
        <v>0</v>
      </c>
      <c r="C427" s="215" t="s">
        <v>1</v>
      </c>
      <c r="D427" s="216" t="s">
        <v>13</v>
      </c>
      <c r="E427" s="217" t="s">
        <v>15</v>
      </c>
    </row>
    <row r="428" spans="1:9" ht="15.75" thickTop="1" x14ac:dyDescent="0.25">
      <c r="A428" s="398" t="s">
        <v>145</v>
      </c>
      <c r="B428" s="399">
        <f>SUM(B430:B432)</f>
        <v>750000</v>
      </c>
      <c r="C428" s="399">
        <f>SUM(C430:C432)</f>
        <v>1791672</v>
      </c>
      <c r="D428" s="399">
        <f>SUM(D430:D432)</f>
        <v>898553.77</v>
      </c>
      <c r="E428" s="400">
        <f>D428/C428*100</f>
        <v>50.151689036832636</v>
      </c>
      <c r="F428" s="209"/>
    </row>
    <row r="429" spans="1:9" x14ac:dyDescent="0.2">
      <c r="A429" s="154" t="s">
        <v>144</v>
      </c>
      <c r="B429" s="275">
        <v>0</v>
      </c>
      <c r="C429" s="277">
        <v>50000</v>
      </c>
      <c r="D429" s="275">
        <v>26400</v>
      </c>
      <c r="E429" s="403">
        <f>D429/C429*100</f>
        <v>52.800000000000004</v>
      </c>
      <c r="F429" s="209">
        <v>100475</v>
      </c>
      <c r="G429" s="210" t="s">
        <v>612</v>
      </c>
    </row>
    <row r="430" spans="1:9" x14ac:dyDescent="0.2">
      <c r="A430" s="154" t="s">
        <v>636</v>
      </c>
      <c r="B430" s="275">
        <v>0</v>
      </c>
      <c r="C430" s="277">
        <v>400000</v>
      </c>
      <c r="D430" s="275">
        <v>48000</v>
      </c>
      <c r="E430" s="403">
        <f>D430/C430*100</f>
        <v>12</v>
      </c>
      <c r="F430" s="209">
        <v>100581</v>
      </c>
      <c r="G430" s="210" t="s">
        <v>612</v>
      </c>
      <c r="H430" s="404">
        <f>SUM(C429:C430)</f>
        <v>450000</v>
      </c>
      <c r="I430" s="404">
        <f>SUM(D429:D430)</f>
        <v>74400</v>
      </c>
    </row>
    <row r="431" spans="1:9" x14ac:dyDescent="0.2">
      <c r="A431" s="154" t="s">
        <v>593</v>
      </c>
      <c r="B431" s="275">
        <v>750000</v>
      </c>
      <c r="C431" s="277">
        <v>784272</v>
      </c>
      <c r="D431" s="275">
        <v>291600</v>
      </c>
      <c r="E431" s="403">
        <f>D431/C431*100</f>
        <v>37.180978028031092</v>
      </c>
      <c r="F431" s="209">
        <v>100137</v>
      </c>
      <c r="G431" s="210" t="s">
        <v>598</v>
      </c>
    </row>
    <row r="432" spans="1:9" s="207" customFormat="1" ht="13.5" thickBot="1" x14ac:dyDescent="0.25">
      <c r="A432" s="251" t="s">
        <v>591</v>
      </c>
      <c r="B432" s="401">
        <v>0</v>
      </c>
      <c r="C432" s="402">
        <f>47400+560000</f>
        <v>607400</v>
      </c>
      <c r="D432" s="278">
        <f>47400+511553.77</f>
        <v>558953.77</v>
      </c>
      <c r="E432" s="240">
        <f>D432/C432*100</f>
        <v>92.023999012183083</v>
      </c>
      <c r="F432" s="357">
        <v>100685</v>
      </c>
      <c r="G432" s="274" t="s">
        <v>592</v>
      </c>
      <c r="H432" s="202"/>
    </row>
    <row r="433" spans="1:9" s="138" customFormat="1" ht="13.5" thickTop="1" x14ac:dyDescent="0.2">
      <c r="E433" s="242"/>
      <c r="F433" s="354"/>
      <c r="G433" s="246"/>
      <c r="H433" s="246"/>
    </row>
    <row r="434" spans="1:9" s="137" customFormat="1" ht="18.75" thickBot="1" x14ac:dyDescent="0.3">
      <c r="A434" s="254" t="s">
        <v>202</v>
      </c>
      <c r="B434" s="255">
        <f>B428</f>
        <v>750000</v>
      </c>
      <c r="C434" s="255">
        <f>C428</f>
        <v>1791672</v>
      </c>
      <c r="D434" s="255">
        <f>D428</f>
        <v>898553.77</v>
      </c>
      <c r="E434" s="256">
        <f>D434/C434*100</f>
        <v>50.151689036832636</v>
      </c>
      <c r="F434" s="201"/>
      <c r="G434" s="257"/>
      <c r="H434" s="257"/>
    </row>
    <row r="435" spans="1:9" s="138" customFormat="1" ht="13.5" thickTop="1" x14ac:dyDescent="0.2">
      <c r="E435" s="242"/>
      <c r="F435" s="354"/>
      <c r="G435" s="246"/>
      <c r="H435" s="246"/>
    </row>
    <row r="436" spans="1:9" s="138" customFormat="1" x14ac:dyDescent="0.2">
      <c r="E436" s="242"/>
      <c r="F436" s="354"/>
      <c r="G436" s="246"/>
      <c r="H436" s="246"/>
    </row>
    <row r="437" spans="1:9" s="138" customFormat="1" ht="16.5" customHeight="1" x14ac:dyDescent="0.2">
      <c r="E437" s="242"/>
      <c r="F437" s="354"/>
      <c r="G437" s="246"/>
      <c r="H437" s="246"/>
    </row>
    <row r="438" spans="1:9" s="38" customFormat="1" ht="18.75" customHeight="1" x14ac:dyDescent="0.25">
      <c r="A438" s="26" t="s">
        <v>596</v>
      </c>
      <c r="B438" s="40"/>
      <c r="C438" s="40"/>
      <c r="D438" s="40"/>
      <c r="E438" s="40"/>
      <c r="F438" s="37"/>
      <c r="H438" s="39"/>
    </row>
    <row r="439" spans="1:9" ht="15" customHeight="1" thickBot="1" x14ac:dyDescent="0.3">
      <c r="A439" s="211" t="s">
        <v>183</v>
      </c>
      <c r="E439" s="212" t="s">
        <v>27</v>
      </c>
    </row>
    <row r="440" spans="1:9" ht="14.25" thickTop="1" thickBot="1" x14ac:dyDescent="0.25">
      <c r="A440" s="213" t="s">
        <v>14</v>
      </c>
      <c r="B440" s="214" t="s">
        <v>0</v>
      </c>
      <c r="C440" s="215" t="s">
        <v>1</v>
      </c>
      <c r="D440" s="216" t="s">
        <v>13</v>
      </c>
      <c r="E440" s="217" t="s">
        <v>15</v>
      </c>
    </row>
    <row r="441" spans="1:9" ht="15.75" thickTop="1" x14ac:dyDescent="0.25">
      <c r="A441" s="398" t="s">
        <v>212</v>
      </c>
      <c r="B441" s="399">
        <f>SUM(B442:B444)</f>
        <v>9100000</v>
      </c>
      <c r="C441" s="399">
        <f>SUM(C442:C444)</f>
        <v>30000</v>
      </c>
      <c r="D441" s="399">
        <f>SUM(D442:D444)</f>
        <v>21600</v>
      </c>
      <c r="E441" s="400">
        <v>0</v>
      </c>
      <c r="F441" s="209"/>
    </row>
    <row r="442" spans="1:9" x14ac:dyDescent="0.2">
      <c r="A442" s="154" t="s">
        <v>610</v>
      </c>
      <c r="B442" s="275">
        <v>4200000</v>
      </c>
      <c r="C442" s="277">
        <v>0</v>
      </c>
      <c r="D442" s="275">
        <v>0</v>
      </c>
      <c r="E442" s="403">
        <v>0</v>
      </c>
      <c r="F442" s="209">
        <v>100102</v>
      </c>
      <c r="G442" s="210" t="s">
        <v>599</v>
      </c>
    </row>
    <row r="443" spans="1:9" x14ac:dyDescent="0.2">
      <c r="A443" s="154" t="s">
        <v>611</v>
      </c>
      <c r="B443" s="275">
        <v>0</v>
      </c>
      <c r="C443" s="277">
        <v>30000</v>
      </c>
      <c r="D443" s="275">
        <v>21600</v>
      </c>
      <c r="E443" s="403">
        <f>D443/C443*100</f>
        <v>72</v>
      </c>
      <c r="F443" s="209">
        <v>100531</v>
      </c>
      <c r="G443" s="210" t="s">
        <v>612</v>
      </c>
      <c r="H443" s="404">
        <f>C443</f>
        <v>30000</v>
      </c>
      <c r="I443" s="404">
        <f>D443</f>
        <v>21600</v>
      </c>
    </row>
    <row r="444" spans="1:9" s="207" customFormat="1" ht="13.5" thickBot="1" x14ac:dyDescent="0.25">
      <c r="A444" s="251" t="s">
        <v>611</v>
      </c>
      <c r="B444" s="401">
        <v>4900000</v>
      </c>
      <c r="C444" s="402">
        <v>0</v>
      </c>
      <c r="D444" s="278">
        <v>0</v>
      </c>
      <c r="E444" s="240">
        <v>0</v>
      </c>
      <c r="F444" s="357">
        <v>100531</v>
      </c>
      <c r="G444" s="210" t="s">
        <v>599</v>
      </c>
      <c r="H444" s="202"/>
    </row>
    <row r="445" spans="1:9" s="138" customFormat="1" ht="13.5" thickTop="1" x14ac:dyDescent="0.2">
      <c r="E445" s="242"/>
      <c r="F445" s="354"/>
      <c r="G445" s="246"/>
      <c r="H445" s="246"/>
    </row>
    <row r="446" spans="1:9" s="137" customFormat="1" ht="18.75" thickBot="1" x14ac:dyDescent="0.3">
      <c r="A446" s="254" t="s">
        <v>594</v>
      </c>
      <c r="B446" s="255">
        <f>B441</f>
        <v>9100000</v>
      </c>
      <c r="C446" s="255">
        <f>C441</f>
        <v>30000</v>
      </c>
      <c r="D446" s="255">
        <f>D441</f>
        <v>21600</v>
      </c>
      <c r="E446" s="256">
        <v>0</v>
      </c>
      <c r="F446" s="201"/>
      <c r="G446" s="257"/>
      <c r="H446" s="257"/>
    </row>
    <row r="447" spans="1:9" s="138" customFormat="1" ht="13.5" thickTop="1" x14ac:dyDescent="0.2">
      <c r="E447" s="242"/>
      <c r="F447" s="354"/>
      <c r="G447" s="246"/>
      <c r="H447" s="246"/>
    </row>
    <row r="448" spans="1:9" s="138" customFormat="1" x14ac:dyDescent="0.2">
      <c r="E448" s="242"/>
      <c r="F448" s="354"/>
      <c r="G448" s="246"/>
      <c r="H448" s="246"/>
    </row>
    <row r="449" spans="1:9" ht="15" customHeight="1" x14ac:dyDescent="0.25">
      <c r="A449" s="208" t="s">
        <v>595</v>
      </c>
      <c r="H449" s="404"/>
      <c r="I449" s="404"/>
    </row>
    <row r="450" spans="1:9" ht="15" customHeight="1" thickBot="1" x14ac:dyDescent="0.3">
      <c r="A450" s="211" t="s">
        <v>329</v>
      </c>
      <c r="E450" s="212" t="s">
        <v>27</v>
      </c>
      <c r="H450" s="404"/>
      <c r="I450" s="404"/>
    </row>
    <row r="451" spans="1:9" ht="14.25" thickTop="1" thickBot="1" x14ac:dyDescent="0.25">
      <c r="A451" s="213" t="s">
        <v>14</v>
      </c>
      <c r="B451" s="214" t="s">
        <v>0</v>
      </c>
      <c r="C451" s="215" t="s">
        <v>1</v>
      </c>
      <c r="D451" s="216" t="s">
        <v>13</v>
      </c>
      <c r="E451" s="217" t="s">
        <v>15</v>
      </c>
      <c r="H451" s="404"/>
      <c r="I451" s="404"/>
    </row>
    <row r="452" spans="1:9" ht="15.75" thickTop="1" x14ac:dyDescent="0.2">
      <c r="A452" s="218" t="s">
        <v>330</v>
      </c>
      <c r="B452" s="270">
        <f>SUM(B453:B454)</f>
        <v>0</v>
      </c>
      <c r="C452" s="270">
        <f>SUM(C453:C454)</f>
        <v>200000</v>
      </c>
      <c r="D452" s="270">
        <f>SUM(D453:D454)</f>
        <v>120489</v>
      </c>
      <c r="E452" s="248">
        <f t="shared" ref="E452:E460" si="20">D452/C452*100</f>
        <v>60.244500000000002</v>
      </c>
      <c r="F452" s="209"/>
    </row>
    <row r="453" spans="1:9" s="250" customFormat="1" x14ac:dyDescent="0.2">
      <c r="A453" s="149" t="s">
        <v>331</v>
      </c>
      <c r="B453" s="150">
        <v>0</v>
      </c>
      <c r="C453" s="150">
        <v>50000</v>
      </c>
      <c r="D453" s="150">
        <v>45489</v>
      </c>
      <c r="E453" s="224">
        <f t="shared" si="20"/>
        <v>90.978000000000009</v>
      </c>
      <c r="F453" s="359"/>
      <c r="G453" s="249"/>
      <c r="H453" s="249"/>
    </row>
    <row r="454" spans="1:9" x14ac:dyDescent="0.2">
      <c r="A454" s="149" t="s">
        <v>560</v>
      </c>
      <c r="B454" s="150">
        <v>0</v>
      </c>
      <c r="C454" s="150">
        <v>150000</v>
      </c>
      <c r="D454" s="150">
        <v>75000</v>
      </c>
      <c r="E454" s="224">
        <f t="shared" si="20"/>
        <v>50</v>
      </c>
      <c r="F454" s="209"/>
    </row>
    <row r="455" spans="1:9" ht="15" x14ac:dyDescent="0.2">
      <c r="A455" s="218" t="s">
        <v>332</v>
      </c>
      <c r="B455" s="270">
        <f>SUM(B456:B460)</f>
        <v>7800000</v>
      </c>
      <c r="C455" s="270">
        <f>SUM(C456:C460)</f>
        <v>10670203</v>
      </c>
      <c r="D455" s="270">
        <f>SUM(D456:D460)</f>
        <v>6514519</v>
      </c>
      <c r="E455" s="248">
        <f t="shared" si="20"/>
        <v>61.053374523427529</v>
      </c>
      <c r="F455" s="209"/>
    </row>
    <row r="456" spans="1:9" x14ac:dyDescent="0.2">
      <c r="A456" s="149" t="s">
        <v>562</v>
      </c>
      <c r="B456" s="150">
        <v>4800000</v>
      </c>
      <c r="C456" s="150">
        <v>4800000</v>
      </c>
      <c r="D456" s="150">
        <v>644400</v>
      </c>
      <c r="E456" s="224">
        <f t="shared" si="20"/>
        <v>13.425000000000001</v>
      </c>
      <c r="F456" s="419"/>
    </row>
    <row r="457" spans="1:9" x14ac:dyDescent="0.2">
      <c r="A457" s="149" t="s">
        <v>561</v>
      </c>
      <c r="B457" s="281">
        <v>3000000</v>
      </c>
      <c r="C457" s="281">
        <v>60000</v>
      </c>
      <c r="D457" s="281">
        <v>60000</v>
      </c>
      <c r="E457" s="224">
        <f t="shared" si="20"/>
        <v>100</v>
      </c>
      <c r="F457" s="419"/>
    </row>
    <row r="458" spans="1:9" x14ac:dyDescent="0.2">
      <c r="A458" s="154" t="s">
        <v>572</v>
      </c>
      <c r="B458" s="285">
        <v>0</v>
      </c>
      <c r="C458" s="285">
        <v>2953193</v>
      </c>
      <c r="D458" s="285">
        <v>2953193</v>
      </c>
      <c r="E458" s="224">
        <f t="shared" si="20"/>
        <v>100</v>
      </c>
      <c r="F458" s="413"/>
    </row>
    <row r="459" spans="1:9" s="280" customFormat="1" ht="25.5" x14ac:dyDescent="0.2">
      <c r="A459" s="230" t="s">
        <v>574</v>
      </c>
      <c r="B459" s="286">
        <v>0</v>
      </c>
      <c r="C459" s="286">
        <v>454310</v>
      </c>
      <c r="D459" s="286">
        <v>454308</v>
      </c>
      <c r="E459" s="224">
        <f t="shared" si="20"/>
        <v>99.99955977196187</v>
      </c>
      <c r="F459" s="420"/>
      <c r="G459" s="225"/>
      <c r="H459" s="225"/>
    </row>
    <row r="460" spans="1:9" x14ac:dyDescent="0.2">
      <c r="A460" s="154" t="s">
        <v>573</v>
      </c>
      <c r="B460" s="281">
        <v>0</v>
      </c>
      <c r="C460" s="281">
        <v>2402700</v>
      </c>
      <c r="D460" s="281">
        <v>2402618</v>
      </c>
      <c r="E460" s="224">
        <f t="shared" si="20"/>
        <v>99.996587172763967</v>
      </c>
      <c r="F460" s="209"/>
    </row>
    <row r="461" spans="1:9" ht="15" x14ac:dyDescent="0.2">
      <c r="A461" s="218" t="s">
        <v>333</v>
      </c>
      <c r="B461" s="270">
        <f>SUM(B462:B464)</f>
        <v>4100000</v>
      </c>
      <c r="C461" s="270">
        <f>SUM(C462:C464)</f>
        <v>5236450</v>
      </c>
      <c r="D461" s="270">
        <f>SUM(D462:D464)</f>
        <v>4093425.3</v>
      </c>
      <c r="E461" s="248">
        <f t="shared" ref="E461:E478" si="21">D461/C461*100</f>
        <v>78.171763312931461</v>
      </c>
      <c r="F461" s="209"/>
    </row>
    <row r="462" spans="1:9" x14ac:dyDescent="0.2">
      <c r="A462" s="149" t="s">
        <v>334</v>
      </c>
      <c r="B462" s="150">
        <v>1000000</v>
      </c>
      <c r="C462" s="150">
        <v>2334000</v>
      </c>
      <c r="D462" s="150">
        <v>1243845</v>
      </c>
      <c r="E462" s="224">
        <f t="shared" si="21"/>
        <v>53.292416452442161</v>
      </c>
      <c r="F462" s="209"/>
    </row>
    <row r="463" spans="1:9" x14ac:dyDescent="0.2">
      <c r="A463" s="154" t="s">
        <v>335</v>
      </c>
      <c r="B463" s="150">
        <v>100000</v>
      </c>
      <c r="C463" s="150">
        <v>1792000</v>
      </c>
      <c r="D463" s="150">
        <v>1753980.3</v>
      </c>
      <c r="E463" s="224">
        <f t="shared" si="21"/>
        <v>97.878364955357142</v>
      </c>
      <c r="F463" s="209"/>
    </row>
    <row r="464" spans="1:9" ht="13.5" thickBot="1" x14ac:dyDescent="0.25">
      <c r="A464" s="283" t="s">
        <v>336</v>
      </c>
      <c r="B464" s="252">
        <v>3000000</v>
      </c>
      <c r="C464" s="252">
        <v>1110450</v>
      </c>
      <c r="D464" s="252">
        <v>1095600</v>
      </c>
      <c r="E464" s="240">
        <f t="shared" si="21"/>
        <v>98.662704309063898</v>
      </c>
      <c r="F464" s="209"/>
    </row>
    <row r="465" spans="1:8" s="138" customFormat="1" ht="13.5" thickTop="1" x14ac:dyDescent="0.2">
      <c r="A465" s="268"/>
      <c r="B465" s="269"/>
      <c r="C465" s="269"/>
      <c r="D465" s="269"/>
      <c r="E465" s="242"/>
      <c r="F465" s="354"/>
      <c r="G465" s="246"/>
      <c r="H465" s="246"/>
    </row>
    <row r="466" spans="1:8" s="138" customFormat="1" ht="13.5" thickBot="1" x14ac:dyDescent="0.25">
      <c r="A466" s="268"/>
      <c r="B466" s="269"/>
      <c r="C466" s="269"/>
      <c r="D466" s="269"/>
      <c r="E466" s="552" t="s">
        <v>27</v>
      </c>
      <c r="F466" s="354"/>
      <c r="G466" s="246"/>
      <c r="H466" s="246"/>
    </row>
    <row r="467" spans="1:8" s="138" customFormat="1" ht="14.25" thickTop="1" thickBot="1" x14ac:dyDescent="0.25">
      <c r="A467" s="213" t="s">
        <v>14</v>
      </c>
      <c r="B467" s="214" t="s">
        <v>0</v>
      </c>
      <c r="C467" s="215" t="s">
        <v>1</v>
      </c>
      <c r="D467" s="216" t="s">
        <v>13</v>
      </c>
      <c r="E467" s="217" t="s">
        <v>15</v>
      </c>
      <c r="F467" s="354"/>
      <c r="G467" s="246"/>
      <c r="H467" s="246"/>
    </row>
    <row r="468" spans="1:8" ht="15.75" thickTop="1" x14ac:dyDescent="0.2">
      <c r="A468" s="218" t="s">
        <v>337</v>
      </c>
      <c r="B468" s="270">
        <f>SUM(B469:B471)</f>
        <v>11958000</v>
      </c>
      <c r="C468" s="270">
        <f>SUM(C469:C471)</f>
        <v>3610604</v>
      </c>
      <c r="D468" s="270">
        <f>SUM(D469:D471)</f>
        <v>3247445.1</v>
      </c>
      <c r="E468" s="248">
        <f>D468/C468*100</f>
        <v>89.941879530405444</v>
      </c>
      <c r="F468" s="209"/>
    </row>
    <row r="469" spans="1:8" s="138" customFormat="1" x14ac:dyDescent="0.2">
      <c r="A469" s="149" t="s">
        <v>568</v>
      </c>
      <c r="B469" s="150">
        <v>0</v>
      </c>
      <c r="C469" s="150">
        <v>1913800</v>
      </c>
      <c r="D469" s="150">
        <f>1665360+248440</f>
        <v>1913800</v>
      </c>
      <c r="E469" s="224">
        <f>D469/C469*100</f>
        <v>100</v>
      </c>
      <c r="F469" s="424"/>
      <c r="G469" s="246"/>
      <c r="H469" s="246"/>
    </row>
    <row r="470" spans="1:8" s="138" customFormat="1" x14ac:dyDescent="0.2">
      <c r="A470" s="149" t="s">
        <v>657</v>
      </c>
      <c r="B470" s="281">
        <v>0</v>
      </c>
      <c r="C470" s="281">
        <v>60650</v>
      </c>
      <c r="D470" s="281">
        <v>60650</v>
      </c>
      <c r="E470" s="224"/>
      <c r="F470" s="424"/>
      <c r="G470" s="246"/>
      <c r="H470" s="246"/>
    </row>
    <row r="471" spans="1:8" s="138" customFormat="1" x14ac:dyDescent="0.2">
      <c r="A471" s="149" t="s">
        <v>656</v>
      </c>
      <c r="B471" s="281">
        <v>11958000</v>
      </c>
      <c r="C471" s="281">
        <f>886367+787+729000+20000</f>
        <v>1636154</v>
      </c>
      <c r="D471" s="281">
        <f>867331.1+787+395210+9667</f>
        <v>1272995.1000000001</v>
      </c>
      <c r="E471" s="224">
        <f>D471/C471*100</f>
        <v>77.80411257131054</v>
      </c>
      <c r="F471" s="417"/>
      <c r="G471" s="246"/>
      <c r="H471" s="246"/>
    </row>
    <row r="472" spans="1:8" ht="15" x14ac:dyDescent="0.2">
      <c r="A472" s="218" t="s">
        <v>338</v>
      </c>
      <c r="B472" s="270">
        <f>SUM(B473:B474)</f>
        <v>3000000</v>
      </c>
      <c r="C472" s="270">
        <f>SUM(C473:C474)</f>
        <v>3000000</v>
      </c>
      <c r="D472" s="270">
        <f>SUM(D473:D474)</f>
        <v>2025648</v>
      </c>
      <c r="E472" s="248">
        <f t="shared" si="21"/>
        <v>67.521600000000007</v>
      </c>
      <c r="F472" s="209"/>
    </row>
    <row r="473" spans="1:8" x14ac:dyDescent="0.2">
      <c r="A473" s="149" t="s">
        <v>567</v>
      </c>
      <c r="B473" s="150">
        <v>1000000</v>
      </c>
      <c r="C473" s="150">
        <v>1500000</v>
      </c>
      <c r="D473" s="150">
        <v>1065468</v>
      </c>
      <c r="E473" s="224">
        <f t="shared" si="21"/>
        <v>71.031200000000013</v>
      </c>
      <c r="F473" s="209"/>
    </row>
    <row r="474" spans="1:8" x14ac:dyDescent="0.2">
      <c r="A474" s="149" t="s">
        <v>566</v>
      </c>
      <c r="B474" s="150">
        <v>2000000</v>
      </c>
      <c r="C474" s="150">
        <v>1500000</v>
      </c>
      <c r="D474" s="150">
        <v>960180</v>
      </c>
      <c r="E474" s="224">
        <f t="shared" si="21"/>
        <v>64.012</v>
      </c>
      <c r="F474" s="209"/>
    </row>
    <row r="475" spans="1:8" ht="15" x14ac:dyDescent="0.2">
      <c r="A475" s="218" t="s">
        <v>339</v>
      </c>
      <c r="B475" s="270">
        <f>SUM(B476)</f>
        <v>3627000</v>
      </c>
      <c r="C475" s="270">
        <f>SUM(C476)</f>
        <v>2201542</v>
      </c>
      <c r="D475" s="270">
        <f>SUM(D476)</f>
        <v>1624572</v>
      </c>
      <c r="E475" s="248">
        <f>D475/C475*100</f>
        <v>73.792460012118781</v>
      </c>
      <c r="F475" s="209"/>
    </row>
    <row r="476" spans="1:8" x14ac:dyDescent="0.2">
      <c r="A476" s="149" t="s">
        <v>340</v>
      </c>
      <c r="B476" s="150">
        <v>3627000</v>
      </c>
      <c r="C476" s="150">
        <v>2201542</v>
      </c>
      <c r="D476" s="150">
        <f>1369416+255156</f>
        <v>1624572</v>
      </c>
      <c r="E476" s="224">
        <f t="shared" si="21"/>
        <v>73.792460012118781</v>
      </c>
      <c r="F476" s="209"/>
    </row>
    <row r="477" spans="1:8" ht="15" x14ac:dyDescent="0.2">
      <c r="A477" s="218" t="s">
        <v>564</v>
      </c>
      <c r="B477" s="270">
        <f>SUM(B478)</f>
        <v>7000000</v>
      </c>
      <c r="C477" s="270">
        <f>SUM(C478)</f>
        <v>7000000</v>
      </c>
      <c r="D477" s="270">
        <f>SUM(D478)</f>
        <v>7000000</v>
      </c>
      <c r="E477" s="248">
        <f>D477/C477*100</f>
        <v>100</v>
      </c>
      <c r="F477" s="209"/>
    </row>
    <row r="478" spans="1:8" ht="13.5" thickBot="1" x14ac:dyDescent="0.25">
      <c r="A478" s="283" t="s">
        <v>565</v>
      </c>
      <c r="B478" s="252">
        <v>7000000</v>
      </c>
      <c r="C478" s="252">
        <v>7000000</v>
      </c>
      <c r="D478" s="252">
        <v>7000000</v>
      </c>
      <c r="E478" s="240">
        <f t="shared" si="21"/>
        <v>100</v>
      </c>
      <c r="F478" s="422"/>
    </row>
    <row r="479" spans="1:8" ht="13.5" thickTop="1" x14ac:dyDescent="0.2">
      <c r="A479" s="268"/>
      <c r="B479" s="269"/>
      <c r="C479" s="269"/>
      <c r="D479" s="269"/>
      <c r="E479" s="242"/>
      <c r="F479" s="209"/>
    </row>
    <row r="480" spans="1:8" s="137" customFormat="1" ht="18.75" thickBot="1" x14ac:dyDescent="0.3">
      <c r="A480" s="254" t="s">
        <v>341</v>
      </c>
      <c r="B480" s="255">
        <f>SUM(B452,B455,B461,B468,B472,B475,B477)</f>
        <v>37485000</v>
      </c>
      <c r="C480" s="255">
        <f>SUM(C452,C455,C461,C468,C472,C475,C477)</f>
        <v>31918799</v>
      </c>
      <c r="D480" s="255">
        <f>SUM(D452,D455,D461,D468,D472,D475,D477)</f>
        <v>24626098.399999999</v>
      </c>
      <c r="E480" s="256">
        <f>D480/C480*100</f>
        <v>77.152333958429949</v>
      </c>
      <c r="F480" s="201"/>
      <c r="G480" s="257"/>
      <c r="H480" s="257"/>
    </row>
    <row r="481" spans="1:6" ht="13.5" thickTop="1" x14ac:dyDescent="0.2"/>
    <row r="482" spans="1:6" x14ac:dyDescent="0.2">
      <c r="B482" s="116"/>
    </row>
    <row r="485" spans="1:6" x14ac:dyDescent="0.2">
      <c r="A485" s="138"/>
      <c r="B485" s="269"/>
      <c r="C485" s="269"/>
      <c r="D485" s="269"/>
    </row>
    <row r="486" spans="1:6" ht="14.25" x14ac:dyDescent="0.2">
      <c r="A486" s="289" t="s">
        <v>21</v>
      </c>
      <c r="B486" s="289"/>
      <c r="C486" s="289"/>
      <c r="D486" s="289"/>
      <c r="E486" s="290"/>
    </row>
    <row r="487" spans="1:6" ht="14.25" x14ac:dyDescent="0.2">
      <c r="A487" s="291" t="s">
        <v>25</v>
      </c>
      <c r="B487" s="292">
        <f>SUM(B105)</f>
        <v>118391000</v>
      </c>
      <c r="C487" s="292">
        <f>SUM(C105)</f>
        <v>54337857.880000003</v>
      </c>
      <c r="D487" s="292">
        <f>SUM(D105)</f>
        <v>45635375.089999996</v>
      </c>
      <c r="E487" s="293">
        <f t="shared" ref="E487:E495" si="22">D487/C487*100</f>
        <v>83.9844941822723</v>
      </c>
      <c r="F487" s="368"/>
    </row>
    <row r="488" spans="1:6" ht="14.25" x14ac:dyDescent="0.2">
      <c r="A488" s="291" t="s">
        <v>24</v>
      </c>
      <c r="B488" s="292">
        <f>SUM(B224)</f>
        <v>122648000</v>
      </c>
      <c r="C488" s="292">
        <f>SUM(C224)</f>
        <v>45729996.32</v>
      </c>
      <c r="D488" s="292">
        <f>SUM(D224)</f>
        <v>33009712.52</v>
      </c>
      <c r="E488" s="293">
        <f t="shared" si="22"/>
        <v>72.183938719372279</v>
      </c>
      <c r="F488" s="411"/>
    </row>
    <row r="489" spans="1:6" ht="14.25" x14ac:dyDescent="0.2">
      <c r="A489" s="291" t="s">
        <v>22</v>
      </c>
      <c r="B489" s="292">
        <f>SUM(B307)</f>
        <v>139381000</v>
      </c>
      <c r="C489" s="292">
        <f>SUM(C307)</f>
        <v>99355501.709999993</v>
      </c>
      <c r="D489" s="292">
        <f>SUM(D307)</f>
        <v>86455241.870000005</v>
      </c>
      <c r="E489" s="293">
        <f t="shared" si="22"/>
        <v>87.016058881516784</v>
      </c>
      <c r="F489" s="412"/>
    </row>
    <row r="490" spans="1:6" ht="14.25" x14ac:dyDescent="0.2">
      <c r="A490" s="291" t="s">
        <v>26</v>
      </c>
      <c r="B490" s="292">
        <f>SUM(B371)</f>
        <v>84675000</v>
      </c>
      <c r="C490" s="292">
        <f>SUM(C371)</f>
        <v>24836676.25</v>
      </c>
      <c r="D490" s="292">
        <f>SUM(D371)</f>
        <v>19656366.289999999</v>
      </c>
      <c r="E490" s="293">
        <f t="shared" si="22"/>
        <v>79.142499149820821</v>
      </c>
      <c r="F490" s="414"/>
    </row>
    <row r="491" spans="1:6" ht="14.25" x14ac:dyDescent="0.2">
      <c r="A491" s="291" t="s">
        <v>23</v>
      </c>
      <c r="B491" s="292">
        <f>SUM(B422)</f>
        <v>50452000</v>
      </c>
      <c r="C491" s="292">
        <f>SUM(C422)</f>
        <v>43281014.899999999</v>
      </c>
      <c r="D491" s="292">
        <f>SUM(D422)</f>
        <v>39203846.800000004</v>
      </c>
      <c r="E491" s="293">
        <f t="shared" si="22"/>
        <v>90.579777046771625</v>
      </c>
      <c r="F491" s="415"/>
    </row>
    <row r="492" spans="1:6" ht="14.25" x14ac:dyDescent="0.2">
      <c r="A492" s="291" t="s">
        <v>162</v>
      </c>
      <c r="B492" s="292">
        <f>SUM(B434)</f>
        <v>750000</v>
      </c>
      <c r="C492" s="292">
        <f>SUM(C434)</f>
        <v>1791672</v>
      </c>
      <c r="D492" s="292">
        <f>SUM(D434)</f>
        <v>898553.77</v>
      </c>
      <c r="E492" s="293">
        <f t="shared" si="22"/>
        <v>50.151689036832636</v>
      </c>
      <c r="F492" s="421"/>
    </row>
    <row r="493" spans="1:6" ht="14.25" x14ac:dyDescent="0.2">
      <c r="A493" s="291" t="s">
        <v>597</v>
      </c>
      <c r="B493" s="292">
        <f>SUM(B446)</f>
        <v>9100000</v>
      </c>
      <c r="C493" s="292">
        <f>SUM(C446)</f>
        <v>30000</v>
      </c>
      <c r="D493" s="292">
        <f>SUM(D446)</f>
        <v>21600</v>
      </c>
      <c r="E493" s="292">
        <f>D493/C493*100</f>
        <v>72</v>
      </c>
      <c r="F493" s="416"/>
    </row>
    <row r="494" spans="1:6" ht="14.25" x14ac:dyDescent="0.2">
      <c r="A494" s="291" t="s">
        <v>342</v>
      </c>
      <c r="B494" s="292">
        <f>SUM(B480)</f>
        <v>37485000</v>
      </c>
      <c r="C494" s="292">
        <f t="shared" ref="C494:D494" si="23">SUM(C480)</f>
        <v>31918799</v>
      </c>
      <c r="D494" s="292">
        <f t="shared" si="23"/>
        <v>24626098.399999999</v>
      </c>
      <c r="E494" s="293">
        <f t="shared" si="22"/>
        <v>77.152333958429949</v>
      </c>
      <c r="F494" s="374" t="s">
        <v>668</v>
      </c>
    </row>
    <row r="495" spans="1:6" ht="15.75" thickBot="1" x14ac:dyDescent="0.25">
      <c r="A495" s="294" t="s">
        <v>12</v>
      </c>
      <c r="B495" s="295">
        <f>SUM(B487:B494)</f>
        <v>562882000</v>
      </c>
      <c r="C495" s="295">
        <f t="shared" ref="C495:D495" si="24">SUM(C487:C494)</f>
        <v>301281518.06</v>
      </c>
      <c r="D495" s="295">
        <f t="shared" si="24"/>
        <v>249506794.74000004</v>
      </c>
      <c r="E495" s="296">
        <f t="shared" si="22"/>
        <v>82.81516780272959</v>
      </c>
    </row>
    <row r="496" spans="1:6" ht="13.5" thickTop="1" x14ac:dyDescent="0.2"/>
  </sheetData>
  <pageMargins left="0.78740157480314965" right="0.78740157480314965" top="0.98425196850393704" bottom="0.98425196850393704" header="0.51181102362204722" footer="0.51181102362204722"/>
  <pageSetup paperSize="9" scale="64" fitToHeight="5" orientation="portrait" r:id="rId1"/>
  <headerFooter alignWithMargins="0">
    <oddFooter>&amp;L&amp;"Arial,Kurzíva"Zastupitelstvo Olomouckého kraje 29.6.2012
5. - Rozpočet Olomouckého kraje 2011 - závěrečný účet 
Příloha č. 8: Přehled financování investičních akcí v roce 2011&amp;R&amp;"Arial,Kurzíva"Strana &amp;P (celkem 470)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26"/>
  <sheetViews>
    <sheetView showGridLines="0" view="pageBreakPreview" zoomScaleNormal="100" workbookViewId="0">
      <selection activeCell="E26" sqref="E26"/>
    </sheetView>
  </sheetViews>
  <sheetFormatPr defaultRowHeight="12.75" x14ac:dyDescent="0.2"/>
  <cols>
    <col min="1" max="1" width="9" style="326" customWidth="1"/>
    <col min="2" max="2" width="47.85546875" style="297" customWidth="1"/>
    <col min="3" max="3" width="18.140625" style="298" bestFit="1" customWidth="1"/>
    <col min="4" max="4" width="20.7109375" style="204" bestFit="1" customWidth="1"/>
    <col min="5" max="5" width="17.28515625" style="299" bestFit="1" customWidth="1"/>
    <col min="6" max="6" width="7.28515625" style="204" customWidth="1"/>
    <col min="7" max="7" width="2.28515625" style="204" customWidth="1"/>
    <col min="8" max="8" width="12.42578125" style="300" bestFit="1" customWidth="1"/>
    <col min="9" max="16384" width="9.140625" style="204"/>
  </cols>
  <sheetData>
    <row r="1" spans="1:9" ht="18" x14ac:dyDescent="0.25">
      <c r="A1" s="201" t="s">
        <v>691</v>
      </c>
    </row>
    <row r="2" spans="1:9" x14ac:dyDescent="0.2">
      <c r="A2" s="571" t="s">
        <v>343</v>
      </c>
      <c r="B2" s="572"/>
      <c r="C2" s="572"/>
      <c r="D2" s="572"/>
      <c r="E2" s="572"/>
      <c r="F2" s="572"/>
    </row>
    <row r="3" spans="1:9" ht="21" customHeight="1" x14ac:dyDescent="0.2">
      <c r="A3" s="572"/>
      <c r="B3" s="572"/>
      <c r="C3" s="572"/>
      <c r="D3" s="572"/>
      <c r="E3" s="572"/>
      <c r="F3" s="572"/>
    </row>
    <row r="5" spans="1:9" ht="18" x14ac:dyDescent="0.25">
      <c r="A5" s="208" t="s">
        <v>344</v>
      </c>
    </row>
    <row r="6" spans="1:9" ht="15" x14ac:dyDescent="0.25">
      <c r="A6" s="211" t="s">
        <v>345</v>
      </c>
      <c r="B6" s="211"/>
      <c r="G6" s="301"/>
    </row>
    <row r="7" spans="1:9" ht="15.75" thickBot="1" x14ac:dyDescent="0.3">
      <c r="A7" s="211"/>
      <c r="B7" s="211"/>
      <c r="F7" s="301" t="s">
        <v>27</v>
      </c>
      <c r="G7" s="301"/>
    </row>
    <row r="8" spans="1:9" ht="18.75" customHeight="1" thickTop="1" thickBot="1" x14ac:dyDescent="0.25">
      <c r="A8" s="573" t="s">
        <v>14</v>
      </c>
      <c r="B8" s="574"/>
      <c r="C8" s="214" t="s">
        <v>0</v>
      </c>
      <c r="D8" s="215" t="s">
        <v>1</v>
      </c>
      <c r="E8" s="216" t="s">
        <v>13</v>
      </c>
      <c r="F8" s="217" t="s">
        <v>15</v>
      </c>
      <c r="G8" s="302"/>
      <c r="H8" s="407" t="s">
        <v>647</v>
      </c>
    </row>
    <row r="9" spans="1:9" s="308" customFormat="1" ht="13.5" customHeight="1" thickTop="1" x14ac:dyDescent="0.2">
      <c r="A9" s="309" t="s">
        <v>346</v>
      </c>
      <c r="B9" s="303" t="s">
        <v>347</v>
      </c>
      <c r="C9" s="273">
        <v>0</v>
      </c>
      <c r="D9" s="273">
        <v>2066775</v>
      </c>
      <c r="E9" s="273">
        <v>1033385</v>
      </c>
      <c r="F9" s="304">
        <f>E9/D9*100</f>
        <v>49.999879038598785</v>
      </c>
      <c r="G9" s="305"/>
      <c r="H9" s="306">
        <v>60004100459</v>
      </c>
      <c r="I9" s="307"/>
    </row>
    <row r="10" spans="1:9" s="308" customFormat="1" ht="13.5" customHeight="1" x14ac:dyDescent="0.2">
      <c r="A10" s="309" t="s">
        <v>348</v>
      </c>
      <c r="B10" s="303" t="s">
        <v>349</v>
      </c>
      <c r="C10" s="273">
        <v>0</v>
      </c>
      <c r="D10" s="273">
        <v>3076</v>
      </c>
      <c r="E10" s="273">
        <v>3076</v>
      </c>
      <c r="F10" s="304">
        <v>0</v>
      </c>
      <c r="G10" s="305"/>
      <c r="H10" s="306" t="s">
        <v>350</v>
      </c>
      <c r="I10" s="307"/>
    </row>
    <row r="11" spans="1:9" s="308" customFormat="1" ht="13.5" customHeight="1" x14ac:dyDescent="0.2">
      <c r="A11" s="309" t="s">
        <v>351</v>
      </c>
      <c r="B11" s="303" t="s">
        <v>352</v>
      </c>
      <c r="C11" s="273">
        <v>2904000</v>
      </c>
      <c r="D11" s="273">
        <v>3552525</v>
      </c>
      <c r="E11" s="273">
        <v>3552368.4</v>
      </c>
      <c r="F11" s="304">
        <v>0</v>
      </c>
      <c r="G11" s="305"/>
      <c r="H11" s="306" t="s">
        <v>353</v>
      </c>
      <c r="I11" s="307"/>
    </row>
    <row r="12" spans="1:9" s="308" customFormat="1" ht="13.5" customHeight="1" x14ac:dyDescent="0.2">
      <c r="A12" s="309" t="s">
        <v>354</v>
      </c>
      <c r="B12" s="303" t="s">
        <v>355</v>
      </c>
      <c r="C12" s="273">
        <v>500000</v>
      </c>
      <c r="D12" s="273">
        <v>1125924</v>
      </c>
      <c r="E12" s="273">
        <v>1118688</v>
      </c>
      <c r="F12" s="304">
        <v>0</v>
      </c>
      <c r="G12" s="305"/>
      <c r="H12" s="306" t="s">
        <v>356</v>
      </c>
      <c r="I12" s="307"/>
    </row>
    <row r="13" spans="1:9" s="308" customFormat="1" ht="13.5" customHeight="1" x14ac:dyDescent="0.2">
      <c r="A13" s="309" t="s">
        <v>357</v>
      </c>
      <c r="B13" s="303" t="s">
        <v>358</v>
      </c>
      <c r="C13" s="273">
        <v>500000</v>
      </c>
      <c r="D13" s="273">
        <v>790000</v>
      </c>
      <c r="E13" s="273">
        <v>773944</v>
      </c>
      <c r="F13" s="304">
        <f>E13/D13*100</f>
        <v>97.967594936708863</v>
      </c>
      <c r="G13" s="305"/>
      <c r="H13" s="306" t="s">
        <v>359</v>
      </c>
      <c r="I13" s="307"/>
    </row>
    <row r="14" spans="1:9" s="312" customFormat="1" ht="15" thickBot="1" x14ac:dyDescent="0.25">
      <c r="A14" s="317" t="s">
        <v>360</v>
      </c>
      <c r="B14" s="391" t="s">
        <v>361</v>
      </c>
      <c r="C14" s="318">
        <v>2000000</v>
      </c>
      <c r="D14" s="318">
        <v>4444123.4800000004</v>
      </c>
      <c r="E14" s="318">
        <v>4430664.4000000004</v>
      </c>
      <c r="F14" s="319">
        <f>E14/D14*100</f>
        <v>99.697148828996987</v>
      </c>
      <c r="G14" s="315"/>
      <c r="H14" s="306" t="s">
        <v>563</v>
      </c>
      <c r="I14" s="311"/>
    </row>
    <row r="15" spans="1:9" ht="17.25" thickTop="1" thickBot="1" x14ac:dyDescent="0.3">
      <c r="A15" s="320" t="s">
        <v>12</v>
      </c>
      <c r="B15" s="321"/>
      <c r="C15" s="322">
        <f>SUM(C9:C14)</f>
        <v>5904000</v>
      </c>
      <c r="D15" s="322">
        <f>SUM(D9:D14)</f>
        <v>11982423.48</v>
      </c>
      <c r="E15" s="322">
        <f>SUM(E9:E14)</f>
        <v>10912125.800000001</v>
      </c>
      <c r="F15" s="323">
        <f>E15/D15*100</f>
        <v>91.067769539388706</v>
      </c>
      <c r="G15" s="324"/>
      <c r="H15" s="316"/>
      <c r="I15" s="325"/>
    </row>
    <row r="16" spans="1:9" ht="13.5" thickTop="1" x14ac:dyDescent="0.2">
      <c r="H16" s="316"/>
      <c r="I16" s="327"/>
    </row>
    <row r="17" spans="1:9" x14ac:dyDescent="0.2">
      <c r="D17" s="325"/>
      <c r="H17" s="316"/>
      <c r="I17" s="325"/>
    </row>
    <row r="18" spans="1:9" x14ac:dyDescent="0.2">
      <c r="H18" s="316"/>
      <c r="I18" s="328"/>
    </row>
    <row r="19" spans="1:9" ht="15.75" thickBot="1" x14ac:dyDescent="0.3">
      <c r="A19" s="211" t="s">
        <v>362</v>
      </c>
      <c r="B19" s="211"/>
      <c r="E19" s="298"/>
      <c r="F19" s="301" t="s">
        <v>27</v>
      </c>
      <c r="G19" s="301"/>
      <c r="H19" s="316"/>
      <c r="I19" s="328"/>
    </row>
    <row r="20" spans="1:9" ht="18.75" customHeight="1" thickTop="1" thickBot="1" x14ac:dyDescent="0.25">
      <c r="A20" s="575" t="s">
        <v>14</v>
      </c>
      <c r="B20" s="576"/>
      <c r="C20" s="214" t="s">
        <v>0</v>
      </c>
      <c r="D20" s="215" t="s">
        <v>1</v>
      </c>
      <c r="E20" s="216" t="s">
        <v>13</v>
      </c>
      <c r="F20" s="217" t="s">
        <v>15</v>
      </c>
      <c r="G20" s="302"/>
      <c r="H20" s="316"/>
      <c r="I20" s="328"/>
    </row>
    <row r="21" spans="1:9" ht="13.5" thickTop="1" x14ac:dyDescent="0.2">
      <c r="A21" s="309" t="s">
        <v>351</v>
      </c>
      <c r="B21" s="303" t="s">
        <v>352</v>
      </c>
      <c r="C21" s="273">
        <v>0</v>
      </c>
      <c r="D21" s="273">
        <v>784704</v>
      </c>
      <c r="E21" s="273">
        <v>784704</v>
      </c>
      <c r="F21" s="304">
        <f>E21/D21*100</f>
        <v>100</v>
      </c>
      <c r="G21" s="302"/>
      <c r="H21" s="306" t="s">
        <v>353</v>
      </c>
      <c r="I21" s="328"/>
    </row>
    <row r="22" spans="1:9" s="312" customFormat="1" ht="15" thickBot="1" x14ac:dyDescent="0.25">
      <c r="A22" s="310" t="s">
        <v>360</v>
      </c>
      <c r="B22" s="313" t="s">
        <v>361</v>
      </c>
      <c r="C22" s="277">
        <v>0</v>
      </c>
      <c r="D22" s="277">
        <v>1131870</v>
      </c>
      <c r="E22" s="277">
        <v>1131870</v>
      </c>
      <c r="F22" s="314">
        <f>E22/D22*100</f>
        <v>100</v>
      </c>
      <c r="G22" s="315"/>
      <c r="H22" s="306" t="s">
        <v>563</v>
      </c>
      <c r="I22" s="311"/>
    </row>
    <row r="23" spans="1:9" ht="17.25" thickTop="1" thickBot="1" x14ac:dyDescent="0.3">
      <c r="A23" s="329" t="s">
        <v>12</v>
      </c>
      <c r="B23" s="330"/>
      <c r="C23" s="331">
        <f>SUM(C21:C22)</f>
        <v>0</v>
      </c>
      <c r="D23" s="331">
        <f>SUM(D21:D22)</f>
        <v>1916574</v>
      </c>
      <c r="E23" s="331">
        <f>SUM(E21:E22)</f>
        <v>1916574</v>
      </c>
      <c r="F23" s="332">
        <f>E23/D23*100</f>
        <v>100</v>
      </c>
      <c r="G23" s="324"/>
      <c r="H23" s="316"/>
      <c r="I23" s="328"/>
    </row>
    <row r="24" spans="1:9" s="328" customFormat="1" x14ac:dyDescent="0.2">
      <c r="A24" s="326"/>
      <c r="B24" s="297"/>
      <c r="C24" s="298"/>
      <c r="D24" s="333"/>
      <c r="E24" s="334"/>
      <c r="F24" s="204"/>
      <c r="G24" s="204"/>
      <c r="H24" s="316"/>
    </row>
    <row r="25" spans="1:9" ht="16.5" thickBot="1" x14ac:dyDescent="0.3">
      <c r="A25" s="335" t="s">
        <v>363</v>
      </c>
      <c r="B25" s="335"/>
      <c r="C25" s="392">
        <f>SUM(C23,C15)</f>
        <v>5904000</v>
      </c>
      <c r="D25" s="392">
        <f>SUM(D23,D15)</f>
        <v>13898997.48</v>
      </c>
      <c r="E25" s="392">
        <f>SUM(E23,E15)</f>
        <v>12828699.800000001</v>
      </c>
      <c r="F25" s="336">
        <f>E25/D25*100</f>
        <v>92.299461298988589</v>
      </c>
      <c r="G25" s="337"/>
      <c r="H25" s="316"/>
      <c r="I25" s="328"/>
    </row>
    <row r="26" spans="1:9" ht="13.5" thickTop="1" x14ac:dyDescent="0.2"/>
  </sheetData>
  <autoFilter ref="A8:I15">
    <filterColumn colId="0" showButton="0"/>
  </autoFilter>
  <mergeCells count="3">
    <mergeCell ref="A2:F3"/>
    <mergeCell ref="A8:B8"/>
    <mergeCell ref="A20:B20"/>
  </mergeCells>
  <pageMargins left="0.78740157480314965" right="0.78740157480314965" top="0.98425196850393704" bottom="0.98425196850393704" header="0.51181102362204722" footer="0.51181102362204722"/>
  <pageSetup paperSize="9" scale="72" fitToHeight="2" orientation="portrait" r:id="rId1"/>
  <headerFooter alignWithMargins="0">
    <oddFooter>&amp;L&amp;"Arial,Kurzíva"Zastupitelstvo Olomouckého kraje 29.6.2012
5. - Rozpočet Olomouckého kraje 2011 - závěrečný účet 
Příloha č. 8: Přehled financování investičních akcí v roce 2011&amp;R&amp;"Arial,Kurzíva"Strana &amp;P (celkem 470)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6"/>
  <sheetViews>
    <sheetView showGridLines="0" zoomScaleNormal="100" workbookViewId="0">
      <selection activeCell="D28" sqref="D28"/>
    </sheetView>
  </sheetViews>
  <sheetFormatPr defaultRowHeight="12.75" x14ac:dyDescent="0.2"/>
  <cols>
    <col min="1" max="1" width="76.28515625" style="346" customWidth="1"/>
    <col min="2" max="2" width="16" style="349" customWidth="1"/>
    <col min="3" max="3" width="16" style="350" customWidth="1"/>
    <col min="4" max="4" width="16.140625" style="346" customWidth="1"/>
    <col min="5" max="5" width="7.42578125" style="346" customWidth="1"/>
    <col min="6" max="6" width="12.5703125" style="351" customWidth="1"/>
    <col min="7" max="7" width="10.140625" style="393" bestFit="1" customWidth="1"/>
    <col min="8" max="8" width="16.140625" style="346" bestFit="1" customWidth="1"/>
    <col min="9" max="16384" width="9.140625" style="346"/>
  </cols>
  <sheetData>
    <row r="1" spans="1:8" s="204" customFormat="1" ht="18" x14ac:dyDescent="0.25">
      <c r="A1" s="201" t="s">
        <v>691</v>
      </c>
      <c r="B1" s="201"/>
      <c r="C1" s="201"/>
      <c r="D1" s="201"/>
      <c r="E1" s="201"/>
      <c r="F1" s="298"/>
      <c r="G1" s="393"/>
      <c r="H1" s="299"/>
    </row>
    <row r="2" spans="1:8" s="207" customFormat="1" ht="15.75" x14ac:dyDescent="0.25">
      <c r="A2" s="205" t="s">
        <v>364</v>
      </c>
      <c r="B2" s="206"/>
      <c r="C2" s="206"/>
      <c r="D2" s="206"/>
      <c r="E2" s="206"/>
      <c r="F2" s="338"/>
      <c r="G2" s="393"/>
      <c r="H2" s="339"/>
    </row>
    <row r="3" spans="1:8" s="342" customFormat="1" ht="15.75" x14ac:dyDescent="0.25">
      <c r="A3" s="340"/>
      <c r="B3" s="340"/>
      <c r="C3" s="340"/>
      <c r="D3" s="340"/>
      <c r="E3" s="315"/>
      <c r="F3" s="341"/>
      <c r="G3" s="394"/>
    </row>
    <row r="4" spans="1:8" s="117" customFormat="1" ht="18" x14ac:dyDescent="0.25">
      <c r="A4" s="208" t="s">
        <v>182</v>
      </c>
      <c r="E4" s="209"/>
      <c r="G4" s="393"/>
    </row>
    <row r="5" spans="1:8" s="117" customFormat="1" ht="15" customHeight="1" thickBot="1" x14ac:dyDescent="0.3">
      <c r="A5" s="211" t="s">
        <v>365</v>
      </c>
      <c r="E5" s="212" t="s">
        <v>27</v>
      </c>
      <c r="G5" s="393"/>
    </row>
    <row r="6" spans="1:8" s="117" customFormat="1" ht="27" customHeight="1" thickTop="1" thickBot="1" x14ac:dyDescent="0.25">
      <c r="A6" s="213" t="s">
        <v>14</v>
      </c>
      <c r="B6" s="214" t="s">
        <v>0</v>
      </c>
      <c r="C6" s="215" t="s">
        <v>1</v>
      </c>
      <c r="D6" s="216" t="s">
        <v>13</v>
      </c>
      <c r="E6" s="217" t="s">
        <v>15</v>
      </c>
      <c r="G6" s="393"/>
    </row>
    <row r="7" spans="1:8" ht="15.75" thickTop="1" x14ac:dyDescent="0.2">
      <c r="A7" s="218" t="s">
        <v>20</v>
      </c>
      <c r="B7" s="219">
        <f>SUM(B8:B8)</f>
        <v>0</v>
      </c>
      <c r="C7" s="343">
        <f>SUM(C8:C8)</f>
        <v>6623898.7400000002</v>
      </c>
      <c r="D7" s="219">
        <f>SUM(D8:D8)</f>
        <v>6623898.7400000002</v>
      </c>
      <c r="E7" s="344">
        <f>D7/C7*100</f>
        <v>100</v>
      </c>
      <c r="F7" s="345" t="s">
        <v>7</v>
      </c>
      <c r="G7" s="394" t="s">
        <v>582</v>
      </c>
    </row>
    <row r="8" spans="1:8" ht="13.5" thickBot="1" x14ac:dyDescent="0.25">
      <c r="A8" s="352" t="s">
        <v>142</v>
      </c>
      <c r="B8" s="238">
        <v>0</v>
      </c>
      <c r="C8" s="348">
        <f>367994.37+6255904.37</f>
        <v>6623898.7400000002</v>
      </c>
      <c r="D8" s="348">
        <f>367994.37+6255904.37</f>
        <v>6623898.7400000002</v>
      </c>
      <c r="E8" s="240">
        <f>D8/C8*100</f>
        <v>100</v>
      </c>
      <c r="F8" s="347">
        <v>6001100471</v>
      </c>
      <c r="G8" s="397" t="s">
        <v>581</v>
      </c>
    </row>
    <row r="9" spans="1:8" s="342" customFormat="1" ht="16.5" thickTop="1" x14ac:dyDescent="0.25">
      <c r="A9" s="340"/>
      <c r="B9" s="340"/>
      <c r="C9" s="340"/>
      <c r="D9" s="340"/>
      <c r="E9" s="315"/>
      <c r="F9" s="341"/>
      <c r="G9" s="394"/>
    </row>
    <row r="10" spans="1:8" s="342" customFormat="1" ht="15.75" x14ac:dyDescent="0.25">
      <c r="A10" s="340"/>
      <c r="B10" s="340"/>
      <c r="C10" s="340"/>
      <c r="D10" s="340"/>
      <c r="E10" s="315"/>
      <c r="F10" s="341"/>
      <c r="G10" s="394"/>
    </row>
    <row r="11" spans="1:8" s="137" customFormat="1" ht="18.75" thickBot="1" x14ac:dyDescent="0.3">
      <c r="A11" s="254" t="s">
        <v>191</v>
      </c>
      <c r="B11" s="255">
        <f>SUM(B7)</f>
        <v>0</v>
      </c>
      <c r="C11" s="255">
        <f>SUM(C7)</f>
        <v>6623898.7400000002</v>
      </c>
      <c r="D11" s="255">
        <f>SUM(D7)</f>
        <v>6623898.7400000002</v>
      </c>
      <c r="E11" s="256">
        <f>D11/C11*100</f>
        <v>100</v>
      </c>
      <c r="F11" s="201"/>
      <c r="G11" s="395"/>
    </row>
    <row r="12" spans="1:8" ht="13.5" thickTop="1" x14ac:dyDescent="0.2"/>
    <row r="13" spans="1:8" s="117" customFormat="1" ht="18" x14ac:dyDescent="0.25">
      <c r="A13" s="208" t="s">
        <v>583</v>
      </c>
      <c r="E13" s="209"/>
      <c r="G13" s="393"/>
    </row>
    <row r="14" spans="1:8" s="117" customFormat="1" ht="15" customHeight="1" thickBot="1" x14ac:dyDescent="0.3">
      <c r="A14" s="211" t="s">
        <v>569</v>
      </c>
      <c r="E14" s="212" t="s">
        <v>27</v>
      </c>
      <c r="G14" s="393"/>
    </row>
    <row r="15" spans="1:8" s="117" customFormat="1" ht="27" customHeight="1" thickTop="1" thickBot="1" x14ac:dyDescent="0.25">
      <c r="A15" s="213" t="s">
        <v>14</v>
      </c>
      <c r="B15" s="214" t="s">
        <v>0</v>
      </c>
      <c r="C15" s="215" t="s">
        <v>1</v>
      </c>
      <c r="D15" s="216" t="s">
        <v>13</v>
      </c>
      <c r="E15" s="217" t="s">
        <v>15</v>
      </c>
      <c r="G15" s="393"/>
    </row>
    <row r="16" spans="1:8" ht="15.75" thickTop="1" x14ac:dyDescent="0.2">
      <c r="A16" s="218" t="s">
        <v>20</v>
      </c>
      <c r="B16" s="219">
        <f>SUM(B17:B17)</f>
        <v>0</v>
      </c>
      <c r="C16" s="343">
        <f>SUM(C17:C17)</f>
        <v>886367</v>
      </c>
      <c r="D16" s="219">
        <f>SUM(D17:D17)</f>
        <v>428614.9</v>
      </c>
      <c r="E16" s="344">
        <f>D16/C16*100</f>
        <v>48.356369314290809</v>
      </c>
      <c r="F16" s="345" t="s">
        <v>7</v>
      </c>
      <c r="G16" s="394" t="s">
        <v>571</v>
      </c>
    </row>
    <row r="17" spans="1:7" ht="13.5" thickBot="1" x14ac:dyDescent="0.25">
      <c r="A17" s="352" t="s">
        <v>570</v>
      </c>
      <c r="B17" s="238">
        <v>0</v>
      </c>
      <c r="C17" s="348">
        <v>886367</v>
      </c>
      <c r="D17" s="238">
        <v>428614.9</v>
      </c>
      <c r="E17" s="240">
        <f>D17/C17*100</f>
        <v>48.356369314290809</v>
      </c>
      <c r="F17" s="347">
        <v>60004000000</v>
      </c>
      <c r="G17" s="394">
        <v>98861</v>
      </c>
    </row>
    <row r="18" spans="1:7" s="342" customFormat="1" ht="16.5" thickTop="1" x14ac:dyDescent="0.25">
      <c r="A18" s="340"/>
      <c r="B18" s="340"/>
      <c r="C18" s="340"/>
      <c r="D18" s="340"/>
      <c r="E18" s="315"/>
      <c r="F18" s="341"/>
      <c r="G18" s="394"/>
    </row>
    <row r="19" spans="1:7" s="137" customFormat="1" ht="18.75" thickBot="1" x14ac:dyDescent="0.3">
      <c r="A19" s="254" t="s">
        <v>201</v>
      </c>
      <c r="B19" s="255">
        <f>SUM(B16)</f>
        <v>0</v>
      </c>
      <c r="C19" s="255">
        <f>SUM(C16)</f>
        <v>886367</v>
      </c>
      <c r="D19" s="255">
        <f>SUM(D16)</f>
        <v>428614.9</v>
      </c>
      <c r="E19" s="256">
        <f>D19/C19*100</f>
        <v>48.356369314290809</v>
      </c>
      <c r="F19" s="201"/>
      <c r="G19" s="395"/>
    </row>
    <row r="20" spans="1:7" ht="13.5" thickTop="1" x14ac:dyDescent="0.2"/>
    <row r="22" spans="1:7" ht="14.25" x14ac:dyDescent="0.2">
      <c r="A22" s="289" t="s">
        <v>21</v>
      </c>
      <c r="B22" s="289"/>
      <c r="C22" s="289"/>
      <c r="D22" s="289"/>
      <c r="E22" s="290"/>
    </row>
    <row r="23" spans="1:7" ht="14.25" x14ac:dyDescent="0.2">
      <c r="A23" s="291" t="s">
        <v>25</v>
      </c>
      <c r="B23" s="292">
        <f>B11</f>
        <v>0</v>
      </c>
      <c r="C23" s="292">
        <f>C11</f>
        <v>6623898.7400000002</v>
      </c>
      <c r="D23" s="292">
        <f>D11</f>
        <v>6623898.7400000002</v>
      </c>
      <c r="E23" s="293">
        <f>D23/C23*100</f>
        <v>100</v>
      </c>
    </row>
    <row r="24" spans="1:7" ht="14.25" x14ac:dyDescent="0.2">
      <c r="A24" s="291" t="s">
        <v>22</v>
      </c>
      <c r="B24" s="292">
        <f>B19</f>
        <v>0</v>
      </c>
      <c r="C24" s="292">
        <f>C19</f>
        <v>886367</v>
      </c>
      <c r="D24" s="292">
        <f>D19</f>
        <v>428614.9</v>
      </c>
      <c r="E24" s="292">
        <f>E19</f>
        <v>48.356369314290809</v>
      </c>
    </row>
    <row r="25" spans="1:7" ht="15.75" thickBot="1" x14ac:dyDescent="0.25">
      <c r="A25" s="294" t="s">
        <v>12</v>
      </c>
      <c r="B25" s="295">
        <f>SUM(B23:B24)</f>
        <v>0</v>
      </c>
      <c r="C25" s="295">
        <f t="shared" ref="C25:D25" si="0">SUM(C23:C24)</f>
        <v>7510265.7400000002</v>
      </c>
      <c r="D25" s="295">
        <f t="shared" si="0"/>
        <v>7052513.6400000006</v>
      </c>
      <c r="E25" s="296">
        <f>D25/C25*100</f>
        <v>93.904981316946063</v>
      </c>
    </row>
    <row r="26" spans="1:7" ht="13.5" thickTop="1" x14ac:dyDescent="0.2"/>
  </sheetData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>
    <oddFooter>&amp;L&amp;"Arial,Kurzíva"Zastupitelstvo Olomouckého kraje 29.6.2012
5. - Rozpočet Olomouckého kraje 2011 - závěrečný účet 
Příloha č. 8: Přehled financování investičních akcí v roce 2011&amp;R&amp;"Arial,Kurzíva"Strana &amp;P (celkem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7</vt:i4>
      </vt:variant>
    </vt:vector>
  </HeadingPairs>
  <TitlesOfParts>
    <vt:vector size="14" baseType="lpstr">
      <vt:lpstr>rekapitulace</vt:lpstr>
      <vt:lpstr>8a. EIB - Evropské programy</vt:lpstr>
      <vt:lpstr>8b. KB 2011</vt:lpstr>
      <vt:lpstr>8c. SFDI 2011</vt:lpstr>
      <vt:lpstr>8d. OK 2011</vt:lpstr>
      <vt:lpstr>8e. povodně 2011</vt:lpstr>
      <vt:lpstr>f) dotace</vt:lpstr>
      <vt:lpstr>'8a. EIB - Evropské programy'!Oblast_tisku</vt:lpstr>
      <vt:lpstr>'8b. KB 2011'!Oblast_tisku</vt:lpstr>
      <vt:lpstr>'8c. SFDI 2011'!Oblast_tisku</vt:lpstr>
      <vt:lpstr>'8d. OK 2011'!Oblast_tisku</vt:lpstr>
      <vt:lpstr>'8e. povodně 2011'!Oblast_tisku</vt:lpstr>
      <vt:lpstr>'f) dotace'!Oblast_tisku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benesova</dc:creator>
  <cp:lastModifiedBy>Kypusová Marta</cp:lastModifiedBy>
  <cp:lastPrinted>2012-05-31T12:19:58Z</cp:lastPrinted>
  <dcterms:created xsi:type="dcterms:W3CDTF">2010-08-09T11:30:13Z</dcterms:created>
  <dcterms:modified xsi:type="dcterms:W3CDTF">2013-02-04T11:30:10Z</dcterms:modified>
</cp:coreProperties>
</file>