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15" yWindow="-15" windowWidth="15330" windowHeight="9120" firstSheet="9" activeTab="17"/>
  </bookViews>
  <sheets>
    <sheet name="celkem" sheetId="32" r:id="rId1"/>
    <sheet name="ORJ - 01" sheetId="29" r:id="rId2"/>
    <sheet name="ORJ - 02" sheetId="28" r:id="rId3"/>
    <sheet name="ORJ - 03" sheetId="27" r:id="rId4"/>
    <sheet name="ORJ - 04" sheetId="26" r:id="rId5"/>
    <sheet name="ORJ - 05" sheetId="25" r:id="rId6"/>
    <sheet name="ORJ - 06" sheetId="24" r:id="rId7"/>
    <sheet name="ORJ - 07" sheetId="23" r:id="rId8"/>
    <sheet name="ORJ - 08" sheetId="22" r:id="rId9"/>
    <sheet name="ORJ - 09" sheetId="21" r:id="rId10"/>
    <sheet name="ORJ - 10" sheetId="31" r:id="rId11"/>
    <sheet name="ORJ - 11" sheetId="19" r:id="rId12"/>
    <sheet name="ORJ - 12" sheetId="18" r:id="rId13"/>
    <sheet name="ORJ - 13" sheetId="17" r:id="rId14"/>
    <sheet name="ORJ - 14" sheetId="16" r:id="rId15"/>
    <sheet name="ORJ - 15" sheetId="15" r:id="rId16"/>
    <sheet name="ORJ - 16" sheetId="14" r:id="rId17"/>
    <sheet name="ORJ - 17" sheetId="30" r:id="rId18"/>
    <sheet name="Modul1" sheetId="2" state="veryHidden" r:id="rId19"/>
  </sheets>
  <definedNames>
    <definedName name="_xlnm._FilterDatabase" localSheetId="10" hidden="1">'ORJ - 10'!$B$9:$K$129</definedName>
    <definedName name="_xlnm._FilterDatabase" localSheetId="13" hidden="1">'ORJ - 13'!$B$8:$K$44</definedName>
    <definedName name="_xlnm.Print_Area" localSheetId="0">celkem!$A$1:$K$25</definedName>
    <definedName name="_xlnm.Print_Area" localSheetId="8">'ORJ - 08'!$A$1:$K$155</definedName>
  </definedNames>
  <calcPr calcId="145621"/>
</workbook>
</file>

<file path=xl/calcChain.xml><?xml version="1.0" encoding="utf-8"?>
<calcChain xmlns="http://schemas.openxmlformats.org/spreadsheetml/2006/main">
  <c r="J13" i="23" l="1"/>
  <c r="J35" i="23"/>
  <c r="J33" i="23" l="1"/>
  <c r="J12" i="23" l="1"/>
  <c r="J46" i="31" l="1"/>
  <c r="L100" i="22"/>
  <c r="K10" i="32" l="1"/>
  <c r="K11" i="32"/>
  <c r="K15" i="32"/>
  <c r="K20" i="32"/>
  <c r="K21" i="32"/>
  <c r="K22" i="32"/>
  <c r="K23" i="32"/>
  <c r="K8" i="32"/>
  <c r="J24" i="32" l="1"/>
  <c r="J27" i="23" l="1"/>
  <c r="H65" i="22" l="1"/>
  <c r="I65" i="22"/>
  <c r="J65" i="22"/>
  <c r="G65" i="22"/>
  <c r="K18" i="22"/>
  <c r="K19" i="22"/>
  <c r="K14" i="22"/>
  <c r="G15" i="30" l="1"/>
  <c r="H15" i="30"/>
  <c r="I15" i="30"/>
  <c r="J15" i="30"/>
  <c r="H67" i="31" l="1"/>
  <c r="I67" i="31"/>
  <c r="J67" i="31"/>
  <c r="G67" i="31"/>
  <c r="J80" i="31"/>
  <c r="G80" i="31"/>
  <c r="K79" i="31"/>
  <c r="K76" i="31"/>
  <c r="K75" i="31"/>
  <c r="I75" i="31"/>
  <c r="I80" i="31" s="1"/>
  <c r="H75" i="31"/>
  <c r="H80" i="31" s="1"/>
  <c r="K74" i="31"/>
  <c r="K73" i="31"/>
  <c r="J71" i="31"/>
  <c r="I71" i="31"/>
  <c r="H71" i="31"/>
  <c r="G71" i="31"/>
  <c r="K70" i="31"/>
  <c r="J49" i="31"/>
  <c r="H49" i="31"/>
  <c r="G49" i="31"/>
  <c r="K48" i="31"/>
  <c r="I48" i="31"/>
  <c r="I49" i="31" s="1"/>
  <c r="I46" i="31"/>
  <c r="H46" i="31"/>
  <c r="G46" i="31"/>
  <c r="J41" i="31"/>
  <c r="I41" i="31"/>
  <c r="H41" i="31"/>
  <c r="G41" i="31"/>
  <c r="K39" i="31"/>
  <c r="J37" i="31"/>
  <c r="I37" i="31"/>
  <c r="H37" i="31"/>
  <c r="G37" i="31"/>
  <c r="K36" i="31"/>
  <c r="J34" i="31"/>
  <c r="I34" i="31"/>
  <c r="H34" i="31"/>
  <c r="G34" i="31"/>
  <c r="K33" i="31"/>
  <c r="J31" i="31"/>
  <c r="I31" i="31"/>
  <c r="H31" i="31"/>
  <c r="G31" i="31"/>
  <c r="K30" i="31"/>
  <c r="J28" i="31"/>
  <c r="J81" i="31" s="1"/>
  <c r="G16" i="32" s="1"/>
  <c r="K16" i="32" s="1"/>
  <c r="I28" i="31"/>
  <c r="H28" i="31"/>
  <c r="G28" i="31"/>
  <c r="G81" i="31" s="1"/>
  <c r="D16" i="32" s="1"/>
  <c r="K27" i="31"/>
  <c r="K24" i="31"/>
  <c r="K22" i="31"/>
  <c r="K62" i="31"/>
  <c r="K19" i="31"/>
  <c r="I19" i="31"/>
  <c r="K18" i="31"/>
  <c r="I18" i="31"/>
  <c r="H18" i="31"/>
  <c r="K17" i="31"/>
  <c r="I17" i="31"/>
  <c r="K16" i="31"/>
  <c r="I16" i="31"/>
  <c r="H16" i="31"/>
  <c r="K15" i="31"/>
  <c r="K14" i="31"/>
  <c r="I14" i="31"/>
  <c r="H14" i="31"/>
  <c r="K13" i="31"/>
  <c r="K12" i="31"/>
  <c r="I12" i="31"/>
  <c r="H12" i="31"/>
  <c r="K11" i="31"/>
  <c r="K10" i="31"/>
  <c r="H81" i="31" l="1"/>
  <c r="E16" i="32" s="1"/>
  <c r="I81" i="31"/>
  <c r="F16" i="32" s="1"/>
  <c r="K31" i="31"/>
  <c r="K34" i="31"/>
  <c r="K37" i="31"/>
  <c r="K80" i="31"/>
  <c r="K81" i="31"/>
  <c r="K28" i="31"/>
  <c r="K11" i="23" l="1"/>
  <c r="K12" i="23"/>
  <c r="K13" i="23"/>
  <c r="K15" i="23"/>
  <c r="K16" i="23"/>
  <c r="K17" i="23"/>
  <c r="K18" i="23"/>
  <c r="K19" i="23"/>
  <c r="K20" i="23"/>
  <c r="K21" i="23"/>
  <c r="K22" i="23"/>
  <c r="K24" i="23"/>
  <c r="K25" i="23"/>
  <c r="K26" i="23"/>
  <c r="K10" i="23"/>
  <c r="G13" i="32"/>
  <c r="K13" i="32" s="1"/>
  <c r="G27" i="23"/>
  <c r="D13" i="32" s="1"/>
  <c r="H26" i="23"/>
  <c r="H21" i="23"/>
  <c r="I18" i="23"/>
  <c r="H18" i="23"/>
  <c r="I17" i="23"/>
  <c r="I15" i="23"/>
  <c r="I14" i="23"/>
  <c r="H14" i="23"/>
  <c r="I13" i="23"/>
  <c r="I12" i="23"/>
  <c r="I27" i="23" s="1"/>
  <c r="F13" i="32" s="1"/>
  <c r="H27" i="23"/>
  <c r="E13" i="32" s="1"/>
  <c r="I42" i="27"/>
  <c r="I39" i="27"/>
  <c r="I38" i="27"/>
  <c r="J37" i="27"/>
  <c r="I37" i="27"/>
  <c r="H37" i="27"/>
  <c r="G37" i="27"/>
  <c r="J34" i="27"/>
  <c r="I34" i="27"/>
  <c r="H34" i="27"/>
  <c r="G34" i="27"/>
  <c r="H26" i="27"/>
  <c r="I26" i="27"/>
  <c r="J27" i="27"/>
  <c r="I27" i="27"/>
  <c r="H27" i="27"/>
  <c r="G27" i="27"/>
  <c r="G26" i="27"/>
  <c r="I25" i="27"/>
  <c r="I24" i="27"/>
  <c r="G24" i="27"/>
  <c r="J23" i="27"/>
  <c r="J51" i="27" s="1"/>
  <c r="G9" i="32" s="1"/>
  <c r="K9" i="32" s="1"/>
  <c r="I23" i="27"/>
  <c r="H23" i="27"/>
  <c r="G23" i="27"/>
  <c r="G51" i="27" s="1"/>
  <c r="D9" i="32" s="1"/>
  <c r="I21" i="27"/>
  <c r="K27" i="23" l="1"/>
  <c r="K26" i="27"/>
  <c r="K27" i="27"/>
  <c r="K28" i="27"/>
  <c r="K29" i="27"/>
  <c r="K30" i="27"/>
  <c r="K31" i="27"/>
  <c r="K32" i="27"/>
  <c r="K33" i="27"/>
  <c r="K34" i="27"/>
  <c r="K35" i="27"/>
  <c r="K36" i="27"/>
  <c r="K37" i="27"/>
  <c r="K38" i="27"/>
  <c r="K39" i="27"/>
  <c r="K40" i="27"/>
  <c r="K41" i="27"/>
  <c r="K43" i="27"/>
  <c r="K44" i="27"/>
  <c r="K45" i="27"/>
  <c r="K46" i="27"/>
  <c r="K47" i="27"/>
  <c r="K48" i="27"/>
  <c r="K49" i="27"/>
  <c r="K50" i="27"/>
  <c r="K18" i="27"/>
  <c r="K19" i="27"/>
  <c r="K20" i="27"/>
  <c r="K21" i="27"/>
  <c r="K22" i="27"/>
  <c r="K23" i="27"/>
  <c r="K24" i="27"/>
  <c r="K25" i="27"/>
  <c r="K11" i="27"/>
  <c r="K12" i="27"/>
  <c r="K13" i="27"/>
  <c r="K14" i="27"/>
  <c r="K16" i="27"/>
  <c r="K10" i="27"/>
  <c r="H68" i="28"/>
  <c r="I68" i="28"/>
  <c r="J68" i="28"/>
  <c r="G68" i="28"/>
  <c r="J63" i="28"/>
  <c r="G63" i="28"/>
  <c r="G79" i="28" l="1"/>
  <c r="D8" i="32" s="1"/>
  <c r="K68" i="28"/>
  <c r="J79" i="28"/>
  <c r="G8" i="32" s="1"/>
  <c r="K63" i="28"/>
  <c r="J74" i="22" l="1"/>
  <c r="G74" i="22"/>
  <c r="J21" i="22"/>
  <c r="H21" i="22"/>
  <c r="I21" i="22"/>
  <c r="G21" i="22"/>
  <c r="K11" i="22"/>
  <c r="K12" i="22"/>
  <c r="K22" i="22"/>
  <c r="K23" i="22"/>
  <c r="K24" i="22"/>
  <c r="K25" i="22"/>
  <c r="K26" i="22"/>
  <c r="K27" i="22"/>
  <c r="K28" i="22"/>
  <c r="K30" i="22"/>
  <c r="K31" i="22"/>
  <c r="K32" i="22"/>
  <c r="K33" i="22"/>
  <c r="K34" i="22"/>
  <c r="K36" i="22"/>
  <c r="K38" i="22"/>
  <c r="K39" i="22"/>
  <c r="K41" i="22"/>
  <c r="K75" i="22"/>
  <c r="K76" i="22"/>
  <c r="K77" i="22"/>
  <c r="K78" i="22"/>
  <c r="K10" i="22"/>
  <c r="H36" i="21"/>
  <c r="I36" i="21"/>
  <c r="J36" i="21"/>
  <c r="G36" i="21"/>
  <c r="H29" i="21"/>
  <c r="J29" i="21"/>
  <c r="G29" i="21"/>
  <c r="J23" i="21"/>
  <c r="G23" i="21"/>
  <c r="K23" i="21"/>
  <c r="K13" i="21"/>
  <c r="K14" i="21"/>
  <c r="K18" i="21"/>
  <c r="K26" i="21"/>
  <c r="K32" i="21"/>
  <c r="K30" i="21"/>
  <c r="K39" i="21"/>
  <c r="K40" i="21"/>
  <c r="K41" i="21"/>
  <c r="K42" i="21"/>
  <c r="K44" i="21"/>
  <c r="K46" i="21"/>
  <c r="K47" i="21"/>
  <c r="K48" i="21"/>
  <c r="K50" i="21"/>
  <c r="K12" i="21"/>
  <c r="K14" i="28"/>
  <c r="K16" i="28"/>
  <c r="K20" i="28"/>
  <c r="K21" i="28"/>
  <c r="K22" i="28"/>
  <c r="K23" i="28"/>
  <c r="K24" i="28"/>
  <c r="K25" i="28"/>
  <c r="K28" i="28"/>
  <c r="K29" i="28"/>
  <c r="K33" i="28"/>
  <c r="K36" i="28"/>
  <c r="K39" i="28"/>
  <c r="K41" i="28"/>
  <c r="K42" i="28"/>
  <c r="K43" i="28"/>
  <c r="K44" i="28"/>
  <c r="K45" i="28"/>
  <c r="K46" i="28"/>
  <c r="K47" i="28"/>
  <c r="K48" i="28"/>
  <c r="K50" i="28"/>
  <c r="K51" i="28"/>
  <c r="K57" i="28"/>
  <c r="K64" i="28"/>
  <c r="K66" i="28"/>
  <c r="K69" i="28"/>
  <c r="K70" i="28"/>
  <c r="K71" i="28"/>
  <c r="K73" i="28"/>
  <c r="K74" i="28"/>
  <c r="K75" i="28"/>
  <c r="K76" i="28"/>
  <c r="K77" i="28"/>
  <c r="K78" i="28"/>
  <c r="K9" i="28"/>
  <c r="K13" i="28"/>
  <c r="J34" i="29"/>
  <c r="J45" i="29" s="1"/>
  <c r="I34" i="29"/>
  <c r="H34" i="29"/>
  <c r="G34" i="29"/>
  <c r="G45" i="29" s="1"/>
  <c r="D7" i="32" s="1"/>
  <c r="I33" i="29"/>
  <c r="H33" i="29"/>
  <c r="H45" i="29" s="1"/>
  <c r="E7" i="32" s="1"/>
  <c r="G7" i="32" l="1"/>
  <c r="K7" i="32" s="1"/>
  <c r="K45" i="29"/>
  <c r="G82" i="22"/>
  <c r="D14" i="32" s="1"/>
  <c r="J82" i="22"/>
  <c r="G14" i="32" s="1"/>
  <c r="K14" i="32" s="1"/>
  <c r="G51" i="21"/>
  <c r="D15" i="32" s="1"/>
  <c r="J51" i="21"/>
  <c r="G15" i="32"/>
  <c r="K51" i="21"/>
  <c r="K65" i="22"/>
  <c r="K36" i="21"/>
  <c r="K10" i="29"/>
  <c r="K12" i="29"/>
  <c r="K13" i="29"/>
  <c r="K14" i="29"/>
  <c r="K15" i="29"/>
  <c r="K16" i="29"/>
  <c r="K17" i="29"/>
  <c r="K18" i="29"/>
  <c r="K19" i="29"/>
  <c r="K20" i="29"/>
  <c r="K21" i="29"/>
  <c r="K22" i="29"/>
  <c r="K23" i="29"/>
  <c r="K24" i="29"/>
  <c r="K25" i="29"/>
  <c r="K26" i="29"/>
  <c r="K27" i="29"/>
  <c r="K28" i="29"/>
  <c r="K29" i="29"/>
  <c r="K30" i="29"/>
  <c r="K31" i="29"/>
  <c r="K32" i="29"/>
  <c r="K33" i="29"/>
  <c r="K34" i="29"/>
  <c r="K35" i="29"/>
  <c r="K36" i="29"/>
  <c r="K37" i="29"/>
  <c r="K38" i="29"/>
  <c r="K39" i="29"/>
  <c r="K40" i="29"/>
  <c r="K41" i="29"/>
  <c r="K42" i="29"/>
  <c r="K43" i="29"/>
  <c r="K44" i="29"/>
  <c r="K11" i="29"/>
  <c r="K10" i="24"/>
  <c r="K12" i="24"/>
  <c r="K13" i="24"/>
  <c r="K14" i="24"/>
  <c r="K15" i="24"/>
  <c r="K16" i="24"/>
  <c r="K17" i="24"/>
  <c r="K18" i="24"/>
  <c r="K11" i="24"/>
  <c r="E10" i="32"/>
  <c r="F10" i="32"/>
  <c r="G10" i="32"/>
  <c r="D10" i="32"/>
  <c r="K26" i="26"/>
  <c r="H26" i="26"/>
  <c r="I26" i="26"/>
  <c r="J26" i="26"/>
  <c r="G26" i="26"/>
  <c r="H12" i="25"/>
  <c r="I12" i="25"/>
  <c r="J12" i="25"/>
  <c r="G12" i="25"/>
  <c r="K10" i="26"/>
  <c r="K13" i="26"/>
  <c r="K14" i="26"/>
  <c r="K16" i="26"/>
  <c r="K18" i="26"/>
  <c r="K19" i="26"/>
  <c r="K20" i="26"/>
  <c r="K23" i="26"/>
  <c r="K11" i="26"/>
  <c r="K12" i="25"/>
  <c r="K11" i="25"/>
  <c r="K10" i="25"/>
  <c r="E11" i="32"/>
  <c r="F11" i="32"/>
  <c r="G11" i="32"/>
  <c r="D11" i="32"/>
  <c r="J44" i="19"/>
  <c r="G44" i="19"/>
  <c r="H40" i="19"/>
  <c r="I40" i="19"/>
  <c r="J40" i="19"/>
  <c r="G40" i="19"/>
  <c r="H37" i="19"/>
  <c r="I37" i="19"/>
  <c r="J37" i="19"/>
  <c r="G37" i="19"/>
  <c r="H32" i="19"/>
  <c r="I32" i="19"/>
  <c r="J32" i="19"/>
  <c r="G32" i="19"/>
  <c r="H29" i="19"/>
  <c r="I29" i="19"/>
  <c r="J29" i="19"/>
  <c r="G29" i="19"/>
  <c r="H23" i="19"/>
  <c r="I23" i="19"/>
  <c r="J23" i="19"/>
  <c r="G23" i="19"/>
  <c r="H17" i="19"/>
  <c r="I17" i="19"/>
  <c r="J17" i="19"/>
  <c r="G17" i="19"/>
  <c r="K43" i="19"/>
  <c r="K46" i="19"/>
  <c r="K47" i="19"/>
  <c r="K48" i="19"/>
  <c r="K35" i="19"/>
  <c r="K49" i="19"/>
  <c r="K16" i="19"/>
  <c r="K22" i="19"/>
  <c r="K28" i="19"/>
  <c r="K33" i="19"/>
  <c r="K36" i="19"/>
  <c r="K39" i="19"/>
  <c r="K42" i="19"/>
  <c r="K11" i="19"/>
  <c r="K10" i="19"/>
  <c r="H29" i="18"/>
  <c r="J29" i="18"/>
  <c r="G29" i="18"/>
  <c r="H22" i="18"/>
  <c r="J22" i="18"/>
  <c r="G22" i="18"/>
  <c r="H17" i="18"/>
  <c r="I17" i="18"/>
  <c r="J17" i="18"/>
  <c r="G17" i="18"/>
  <c r="K13" i="18"/>
  <c r="K16" i="18"/>
  <c r="K19" i="18"/>
  <c r="K20" i="18"/>
  <c r="K21" i="18"/>
  <c r="K23" i="18"/>
  <c r="K24" i="18"/>
  <c r="K25" i="18"/>
  <c r="K27" i="18"/>
  <c r="K28" i="18"/>
  <c r="K30" i="18"/>
  <c r="K31" i="18"/>
  <c r="K32" i="18"/>
  <c r="K33" i="18"/>
  <c r="K34" i="18"/>
  <c r="K38" i="18"/>
  <c r="K10" i="18"/>
  <c r="H14" i="18"/>
  <c r="I14" i="18"/>
  <c r="J14" i="18"/>
  <c r="G14" i="18"/>
  <c r="H42" i="17"/>
  <c r="I42" i="17"/>
  <c r="J42" i="17"/>
  <c r="G42" i="17"/>
  <c r="K38" i="17"/>
  <c r="H34" i="17"/>
  <c r="I34" i="17"/>
  <c r="G34" i="17"/>
  <c r="J34" i="17"/>
  <c r="K24" i="17"/>
  <c r="K22" i="17"/>
  <c r="H17" i="17"/>
  <c r="I17" i="17"/>
  <c r="J17" i="17"/>
  <c r="K15" i="17"/>
  <c r="G17" i="17"/>
  <c r="K17" i="17" s="1"/>
  <c r="H13" i="17"/>
  <c r="I13" i="17"/>
  <c r="J13" i="17"/>
  <c r="K11" i="17"/>
  <c r="K12" i="17"/>
  <c r="K18" i="17"/>
  <c r="K19" i="17"/>
  <c r="K20" i="17"/>
  <c r="K10" i="17"/>
  <c r="G13" i="17"/>
  <c r="K13" i="17" s="1"/>
  <c r="E20" i="32"/>
  <c r="F20" i="32"/>
  <c r="D20" i="32"/>
  <c r="E21" i="32"/>
  <c r="F21" i="32"/>
  <c r="G21" i="32"/>
  <c r="D21" i="32"/>
  <c r="E22" i="32"/>
  <c r="F22" i="32"/>
  <c r="G22" i="32"/>
  <c r="D22" i="32"/>
  <c r="E23" i="32"/>
  <c r="F23" i="32"/>
  <c r="G23" i="32"/>
  <c r="D23" i="32"/>
  <c r="H43" i="16"/>
  <c r="I43" i="16"/>
  <c r="G43" i="16"/>
  <c r="H36" i="16"/>
  <c r="I36" i="16"/>
  <c r="J36" i="16"/>
  <c r="J43" i="16" s="1"/>
  <c r="G20" i="32" s="1"/>
  <c r="G36" i="16"/>
  <c r="K15" i="30"/>
  <c r="K42" i="16"/>
  <c r="K41" i="16"/>
  <c r="K40" i="16"/>
  <c r="K39" i="16"/>
  <c r="K38" i="16"/>
  <c r="K37" i="16"/>
  <c r="K34" i="16"/>
  <c r="K32" i="16"/>
  <c r="K30" i="16"/>
  <c r="K29" i="16"/>
  <c r="K25" i="16"/>
  <c r="K24" i="16"/>
  <c r="K23" i="16"/>
  <c r="K21" i="16"/>
  <c r="K20" i="16"/>
  <c r="K19" i="16"/>
  <c r="K12" i="16"/>
  <c r="K13" i="16"/>
  <c r="K14" i="16"/>
  <c r="K15" i="16"/>
  <c r="K18" i="16"/>
  <c r="K11" i="16"/>
  <c r="H30" i="16"/>
  <c r="I30" i="16"/>
  <c r="J30" i="16"/>
  <c r="G30" i="16"/>
  <c r="H25" i="16"/>
  <c r="I25" i="16"/>
  <c r="J25" i="16"/>
  <c r="G25" i="16"/>
  <c r="H19" i="16"/>
  <c r="I19" i="16"/>
  <c r="J19" i="16"/>
  <c r="G19" i="16"/>
  <c r="H15" i="16"/>
  <c r="J15" i="16"/>
  <c r="G15" i="16"/>
  <c r="H15" i="32"/>
  <c r="H10" i="32"/>
  <c r="H23" i="32"/>
  <c r="H22" i="32"/>
  <c r="H21" i="32"/>
  <c r="H11" i="32"/>
  <c r="I10" i="27"/>
  <c r="H19" i="24"/>
  <c r="E12" i="32" s="1"/>
  <c r="J19" i="24"/>
  <c r="I13" i="30"/>
  <c r="H12" i="30"/>
  <c r="I11" i="30"/>
  <c r="G19" i="24"/>
  <c r="D12" i="32" s="1"/>
  <c r="I44" i="29"/>
  <c r="I35" i="29"/>
  <c r="I31" i="29"/>
  <c r="I30" i="29"/>
  <c r="I28" i="29"/>
  <c r="I27" i="29"/>
  <c r="I25" i="29"/>
  <c r="I23" i="29"/>
  <c r="I22" i="29"/>
  <c r="I21" i="29"/>
  <c r="I20" i="29"/>
  <c r="I19" i="29"/>
  <c r="I18" i="29"/>
  <c r="I17" i="29"/>
  <c r="I15" i="29"/>
  <c r="I14" i="29"/>
  <c r="I13" i="29"/>
  <c r="I12" i="29"/>
  <c r="I10" i="29"/>
  <c r="I45" i="29" s="1"/>
  <c r="F7" i="32" s="1"/>
  <c r="I76" i="28"/>
  <c r="I75" i="28"/>
  <c r="I74" i="28"/>
  <c r="I73" i="28"/>
  <c r="I71" i="28"/>
  <c r="I70" i="28"/>
  <c r="I60" i="28"/>
  <c r="I63" i="28" s="1"/>
  <c r="H60" i="28"/>
  <c r="H58" i="28"/>
  <c r="H63" i="28" s="1"/>
  <c r="I50" i="28"/>
  <c r="I48" i="28"/>
  <c r="I46" i="28"/>
  <c r="I45" i="28"/>
  <c r="I44" i="28"/>
  <c r="I40" i="28"/>
  <c r="I39" i="28"/>
  <c r="I36" i="28"/>
  <c r="I29" i="28"/>
  <c r="H29" i="28"/>
  <c r="I17" i="28"/>
  <c r="H17" i="28"/>
  <c r="I16" i="28"/>
  <c r="I14" i="28"/>
  <c r="I13" i="28"/>
  <c r="H13" i="28"/>
  <c r="I9" i="28"/>
  <c r="I50" i="27"/>
  <c r="I49" i="27"/>
  <c r="I48" i="27"/>
  <c r="I46" i="27"/>
  <c r="I41" i="27"/>
  <c r="I40" i="27"/>
  <c r="I36" i="27"/>
  <c r="I35" i="27"/>
  <c r="I33" i="27"/>
  <c r="I32" i="27"/>
  <c r="I31" i="27"/>
  <c r="I30" i="27"/>
  <c r="I29" i="27"/>
  <c r="I28" i="27"/>
  <c r="I22" i="27"/>
  <c r="I20" i="27"/>
  <c r="I18" i="27"/>
  <c r="I17" i="27"/>
  <c r="H17" i="27"/>
  <c r="I16" i="27"/>
  <c r="H16" i="27"/>
  <c r="I15" i="27"/>
  <c r="H15" i="27"/>
  <c r="I14" i="27"/>
  <c r="H14" i="27"/>
  <c r="I11" i="27"/>
  <c r="H10" i="27"/>
  <c r="H51" i="27" s="1"/>
  <c r="E9" i="32" s="1"/>
  <c r="I25" i="26"/>
  <c r="I24" i="26"/>
  <c r="H24" i="26"/>
  <c r="I23" i="26"/>
  <c r="H23" i="26"/>
  <c r="H22" i="26"/>
  <c r="I21" i="26"/>
  <c r="I20" i="26"/>
  <c r="I19" i="26"/>
  <c r="I17" i="26"/>
  <c r="I16" i="26"/>
  <c r="I15" i="26"/>
  <c r="I14" i="26"/>
  <c r="H14" i="26"/>
  <c r="I13" i="26"/>
  <c r="H13" i="26"/>
  <c r="I12" i="26"/>
  <c r="H12" i="26"/>
  <c r="I11" i="26"/>
  <c r="H11" i="26"/>
  <c r="I10" i="26"/>
  <c r="I11" i="25"/>
  <c r="I18" i="24"/>
  <c r="I17" i="24"/>
  <c r="I16" i="24"/>
  <c r="I14" i="24"/>
  <c r="I13" i="24"/>
  <c r="I12" i="24"/>
  <c r="I11" i="24"/>
  <c r="I10" i="24"/>
  <c r="I19" i="24" s="1"/>
  <c r="F12" i="32" s="1"/>
  <c r="I79" i="22"/>
  <c r="I78" i="22"/>
  <c r="I77" i="22"/>
  <c r="H76" i="22"/>
  <c r="I75" i="22"/>
  <c r="I73" i="22"/>
  <c r="H73" i="22"/>
  <c r="I72" i="22"/>
  <c r="H72" i="22"/>
  <c r="I71" i="22"/>
  <c r="H71" i="22"/>
  <c r="I70" i="22"/>
  <c r="H70" i="22"/>
  <c r="I69" i="22"/>
  <c r="H69" i="22"/>
  <c r="I68" i="22"/>
  <c r="I74" i="22" s="1"/>
  <c r="H68" i="22"/>
  <c r="H74" i="22" s="1"/>
  <c r="I33" i="22"/>
  <c r="I32" i="22"/>
  <c r="H30" i="22"/>
  <c r="I29" i="22"/>
  <c r="I26" i="22"/>
  <c r="I25" i="22"/>
  <c r="I24" i="22"/>
  <c r="I23" i="22"/>
  <c r="I22" i="22"/>
  <c r="I47" i="21"/>
  <c r="H47" i="21"/>
  <c r="I46" i="21"/>
  <c r="H46" i="21"/>
  <c r="I45" i="21"/>
  <c r="H45" i="21"/>
  <c r="I43" i="21"/>
  <c r="H43" i="21"/>
  <c r="I28" i="21"/>
  <c r="I29" i="21" s="1"/>
  <c r="I22" i="21"/>
  <c r="H22" i="21"/>
  <c r="I21" i="21"/>
  <c r="H21" i="21"/>
  <c r="I19" i="21"/>
  <c r="H19" i="21"/>
  <c r="I18" i="21"/>
  <c r="H18" i="21"/>
  <c r="I17" i="21"/>
  <c r="I23" i="21" s="1"/>
  <c r="H17" i="21"/>
  <c r="H23" i="21" s="1"/>
  <c r="I13" i="21"/>
  <c r="I12" i="21"/>
  <c r="I49" i="19"/>
  <c r="H48" i="19"/>
  <c r="I52" i="19"/>
  <c r="H52" i="19"/>
  <c r="I46" i="19"/>
  <c r="H66" i="19"/>
  <c r="I65" i="19"/>
  <c r="H65" i="19"/>
  <c r="I43" i="19"/>
  <c r="I44" i="19" s="1"/>
  <c r="H43" i="19"/>
  <c r="H44" i="19" s="1"/>
  <c r="I45" i="19"/>
  <c r="H45" i="19"/>
  <c r="I62" i="19"/>
  <c r="I33" i="19"/>
  <c r="H61" i="19"/>
  <c r="I51" i="19"/>
  <c r="H51" i="19"/>
  <c r="I59" i="19"/>
  <c r="I11" i="19"/>
  <c r="I10" i="19"/>
  <c r="I36" i="18"/>
  <c r="I35" i="18"/>
  <c r="I31" i="18"/>
  <c r="I28" i="18"/>
  <c r="I29" i="18" s="1"/>
  <c r="I24" i="18"/>
  <c r="I20" i="18"/>
  <c r="I19" i="18"/>
  <c r="J67" i="17"/>
  <c r="I43" i="17"/>
  <c r="I44" i="17" s="1"/>
  <c r="F19" i="32" s="1"/>
  <c r="J21" i="17"/>
  <c r="I40" i="16"/>
  <c r="I39" i="16"/>
  <c r="H39" i="16"/>
  <c r="I38" i="16"/>
  <c r="H38" i="16"/>
  <c r="I37" i="16"/>
  <c r="I16" i="16"/>
  <c r="H16" i="16"/>
  <c r="I14" i="16"/>
  <c r="I12" i="16"/>
  <c r="H13" i="32"/>
  <c r="H16" i="32"/>
  <c r="G39" i="18" l="1"/>
  <c r="J39" i="18"/>
  <c r="H39" i="18"/>
  <c r="K36" i="16"/>
  <c r="K19" i="24"/>
  <c r="G12" i="32"/>
  <c r="K12" i="32" s="1"/>
  <c r="I82" i="22"/>
  <c r="F14" i="32" s="1"/>
  <c r="H82" i="22"/>
  <c r="E14" i="32" s="1"/>
  <c r="H51" i="21"/>
  <c r="E15" i="32" s="1"/>
  <c r="I51" i="21"/>
  <c r="F15" i="32" s="1"/>
  <c r="D18" i="32"/>
  <c r="G18" i="32"/>
  <c r="K18" i="32" s="1"/>
  <c r="E18" i="32"/>
  <c r="H18" i="32"/>
  <c r="K29" i="18"/>
  <c r="I51" i="27"/>
  <c r="F9" i="32" s="1"/>
  <c r="K51" i="27"/>
  <c r="H79" i="28"/>
  <c r="E8" i="32" s="1"/>
  <c r="I79" i="28"/>
  <c r="F8" i="32" s="1"/>
  <c r="K79" i="28"/>
  <c r="H9" i="32"/>
  <c r="K82" i="22"/>
  <c r="H14" i="32"/>
  <c r="H8" i="32"/>
  <c r="H7" i="32"/>
  <c r="H12" i="32"/>
  <c r="I67" i="19"/>
  <c r="F17" i="32" s="1"/>
  <c r="H67" i="19"/>
  <c r="E17" i="32" s="1"/>
  <c r="G67" i="19"/>
  <c r="D17" i="32" s="1"/>
  <c r="J67" i="19"/>
  <c r="G17" i="32" s="1"/>
  <c r="K17" i="32" s="1"/>
  <c r="K67" i="19"/>
  <c r="K40" i="19"/>
  <c r="K44" i="19"/>
  <c r="K37" i="19"/>
  <c r="K29" i="19"/>
  <c r="K23" i="19"/>
  <c r="K17" i="19"/>
  <c r="H17" i="32"/>
  <c r="K14" i="18"/>
  <c r="K17" i="18"/>
  <c r="K22" i="18"/>
  <c r="I22" i="18"/>
  <c r="K39" i="18"/>
  <c r="G44" i="17"/>
  <c r="D19" i="32" s="1"/>
  <c r="J44" i="17"/>
  <c r="G19" i="32" s="1"/>
  <c r="K19" i="32" s="1"/>
  <c r="H44" i="17"/>
  <c r="K44" i="17"/>
  <c r="K42" i="17"/>
  <c r="K34" i="17"/>
  <c r="G24" i="32"/>
  <c r="H19" i="32"/>
  <c r="K43" i="16"/>
  <c r="I15" i="16"/>
  <c r="H20" i="32"/>
  <c r="D24" i="32"/>
  <c r="H24" i="32" s="1"/>
  <c r="K24" i="32" l="1"/>
  <c r="E19" i="32"/>
  <c r="E24" i="32" s="1"/>
  <c r="I39" i="18"/>
  <c r="F18" i="32" s="1"/>
  <c r="F24" i="32" s="1"/>
</calcChain>
</file>

<file path=xl/comments1.xml><?xml version="1.0" encoding="utf-8"?>
<comments xmlns="http://schemas.openxmlformats.org/spreadsheetml/2006/main">
  <authors>
    <author>Vítková Petra</author>
  </authors>
  <commentList>
    <comment ref="B101" authorId="0">
      <text>
        <r>
          <rPr>
            <b/>
            <sz val="8"/>
            <color indexed="81"/>
            <rFont val="Tahoma"/>
            <family val="2"/>
            <charset val="238"/>
          </rPr>
          <t>Vítková Petra:</t>
        </r>
        <r>
          <rPr>
            <sz val="8"/>
            <color indexed="81"/>
            <rFont val="Tahoma"/>
            <family val="2"/>
            <charset val="238"/>
          </rPr>
          <t xml:space="preserve">
</t>
        </r>
      </text>
    </comment>
  </commentList>
</comments>
</file>

<file path=xl/sharedStrings.xml><?xml version="1.0" encoding="utf-8"?>
<sst xmlns="http://schemas.openxmlformats.org/spreadsheetml/2006/main" count="1709" uniqueCount="702">
  <si>
    <t>Správce:</t>
  </si>
  <si>
    <t>Mgr. Lenka Doleželová</t>
  </si>
  <si>
    <t>vedoucí kanceláře</t>
  </si>
  <si>
    <t>v tis. Kč</t>
  </si>
  <si>
    <t>§</t>
  </si>
  <si>
    <t>pol.</t>
  </si>
  <si>
    <t>UZ</t>
  </si>
  <si>
    <t>ORG</t>
  </si>
  <si>
    <t>název položky</t>
  </si>
  <si>
    <t>schválený rozpočet 2011</t>
  </si>
  <si>
    <t>upravený rozpočet k 30.9.2011</t>
  </si>
  <si>
    <t>skutečnost k 30.9.2011</t>
  </si>
  <si>
    <t>návrh rozpočtu na rok 2012</t>
  </si>
  <si>
    <t>%</t>
  </si>
  <si>
    <t>10=9/6</t>
  </si>
  <si>
    <t>Nákup ostatních služeb</t>
  </si>
  <si>
    <t>Ostatní neinvestiční transfery obyvatelstvu</t>
  </si>
  <si>
    <t>Nespecifikované rezervy</t>
  </si>
  <si>
    <t>Nákup materiálu j.n.</t>
  </si>
  <si>
    <t>Služby peněžních ústavů</t>
  </si>
  <si>
    <t>Nájemné</t>
  </si>
  <si>
    <t>Pohoštění</t>
  </si>
  <si>
    <t>Poskytované zálohy vlastní pokladně</t>
  </si>
  <si>
    <t>Ostatní poskytované zálohy a jistiny</t>
  </si>
  <si>
    <t>Věcné dary</t>
  </si>
  <si>
    <t>Celkem</t>
  </si>
  <si>
    <t>§ 6113, POL 5169 - Nákup ostatních služeb</t>
  </si>
  <si>
    <t>tis.Kč</t>
  </si>
  <si>
    <t>§ 6172, POL 5163 - Služby peněžních ústavů</t>
  </si>
  <si>
    <t>§ 6172, POL 5169 - Nákup ostatních služeb</t>
  </si>
  <si>
    <t>§ 6172, POL 5175 - Pohoštění</t>
  </si>
  <si>
    <t>§ 6172, POL 5499 - Ostatní neinvestiční transfery obyvatelstvu</t>
  </si>
  <si>
    <t>Ing. Josef Veselský</t>
  </si>
  <si>
    <t>vedoucí odboru</t>
  </si>
  <si>
    <t>Investiční transfery obcím</t>
  </si>
  <si>
    <t>Ing. Michaela Pruknerová</t>
  </si>
  <si>
    <t>Platy zaměstnanců v pracovním poměru</t>
  </si>
  <si>
    <t>Ostatní osobní výdaje</t>
  </si>
  <si>
    <t>Povinné poj.na soc.zab.a přísp.na st.pol.zaměstnan</t>
  </si>
  <si>
    <t>Povinné poj.na veřejné zdravotní pojištění</t>
  </si>
  <si>
    <t>Knihy, učební pomůcky a tisk</t>
  </si>
  <si>
    <t>Služby telekomunikací a radiokomunikací</t>
  </si>
  <si>
    <t>Konzultační, poradenské a právní služby</t>
  </si>
  <si>
    <t>Služby školení a vzdělávání</t>
  </si>
  <si>
    <t>Cestovné (tuzemské i zahraniční)</t>
  </si>
  <si>
    <t>Účastnické poplatky na konference</t>
  </si>
  <si>
    <t>Programové vybavení</t>
  </si>
  <si>
    <t>§ 3636, POL 5175 - Pohoštění</t>
  </si>
  <si>
    <t>Ing. Miroslav Kubín</t>
  </si>
  <si>
    <t>Drobný hmotný dlouhodobý majetek</t>
  </si>
  <si>
    <t>§ 6172, POL 5021 - Ostatní osobní výdaje</t>
  </si>
  <si>
    <t>§ 6172, POL 5166 - Konzultační, poradenské a právní služby</t>
  </si>
  <si>
    <t>Ostatní neinvestiční transfery do zahraničí</t>
  </si>
  <si>
    <t>Budovy, haly a stavby</t>
  </si>
  <si>
    <t>Stroje, přístroje a zařízení</t>
  </si>
  <si>
    <t>Opravy a udržování</t>
  </si>
  <si>
    <t>§ 2143, POL 5139 - Nákup materiálu j.n.</t>
  </si>
  <si>
    <t>§ 2143, POL 5166 - Konzultační, poradenské a právní služby</t>
  </si>
  <si>
    <t>§ 2143, POL 5169 - Nákup ostatních služeb</t>
  </si>
  <si>
    <t>§ 2143, POL 5175 - Pohoštění</t>
  </si>
  <si>
    <t>§ 4399, POL 5169 - Nákup ostatních služeb</t>
  </si>
  <si>
    <t>Odbor investic a evropských programů</t>
  </si>
  <si>
    <t>ORJ - 17</t>
  </si>
  <si>
    <t>Poskytnuté neinvestiční příspěvky a náhrady (část)</t>
  </si>
  <si>
    <t>Pozemky</t>
  </si>
  <si>
    <t>Neinvestiční příspěvky zřízeným příspěvkovým organ</t>
  </si>
  <si>
    <t>Platby daní a poplatků státnímu rozpočtu</t>
  </si>
  <si>
    <t>§ 3315, POL 5901 - Nespecifikované rezervy</t>
  </si>
  <si>
    <t>§ 6172, POL 5164 - Nájemné</t>
  </si>
  <si>
    <t>§ 6172, POL 5362 - Platby daní a poplatků státnímu rozpočtu</t>
  </si>
  <si>
    <t>Útvar interního auditu</t>
  </si>
  <si>
    <t>ORJ - 16</t>
  </si>
  <si>
    <t>Ing. Věra Štembírková</t>
  </si>
  <si>
    <t>pověřena vedením odboru</t>
  </si>
  <si>
    <t>Odbor Krajský živnostenský úřad</t>
  </si>
  <si>
    <t>ORJ - 15</t>
  </si>
  <si>
    <t>Bc. Ing. František Pivoda</t>
  </si>
  <si>
    <t>§ 6172, POL 5192 - Poskytnuté neinvestiční příspěvky a náhrady (část)</t>
  </si>
  <si>
    <t>Odbor zdravotnictví</t>
  </si>
  <si>
    <t>ORJ - 14</t>
  </si>
  <si>
    <t>MUDr. Eva Štefková</t>
  </si>
  <si>
    <t>Nákup majetkových podílů</t>
  </si>
  <si>
    <t>Investiční transfery občanským sdružením</t>
  </si>
  <si>
    <t>Neinvestiční transf.obecně prospěšným společnostem</t>
  </si>
  <si>
    <t>Neinvestiční transfery občanským sdružením</t>
  </si>
  <si>
    <t>Neinvestiční transfery cizím příspěvkovým organ.</t>
  </si>
  <si>
    <t>Ostatní neinv.transfery nezisk.a podob.organizacím</t>
  </si>
  <si>
    <t>Neinv.transfery nefin.podnik.subjektům-fyz.osobám</t>
  </si>
  <si>
    <t>Neinv.transfery nefin.podnik.subjektům-práv.osobám</t>
  </si>
  <si>
    <t>Dary obyvatelstvu</t>
  </si>
  <si>
    <t>Služby pošt</t>
  </si>
  <si>
    <t>§ 3513, POL 5169 - Nákup ostatních služeb</t>
  </si>
  <si>
    <t>§ 3522, POL 5169 - Nákup ostatních služeb</t>
  </si>
  <si>
    <t>§ 3522, POL 6202 - Nákup majetkových podílů</t>
  </si>
  <si>
    <t>§ 3532, POL 5169 - Nákup ostatních služeb</t>
  </si>
  <si>
    <t>§ 3541, POL 5221 - Neinvestiční transf.obecně prospěšným společnostem</t>
  </si>
  <si>
    <t>§ 3541, POL 5222 - Neinvestiční transfery občanským sdružením</t>
  </si>
  <si>
    <t>§ 3544, POL 5169 - Nákup ostatních služeb</t>
  </si>
  <si>
    <t>§ 3592, POL 5212 - Neinv.transfery nefin.podnik.subjektům-fyz.osobám</t>
  </si>
  <si>
    <t>§ 3592, POL 5213 - Neinv.transfery nefin.podnik.subjektům-práv.osobám</t>
  </si>
  <si>
    <t>§ 3599, POL 5166 - Konzultační, poradenské a právní služby</t>
  </si>
  <si>
    <t>§ 3599, POL 5169 - Nákup ostatních služeb</t>
  </si>
  <si>
    <t>Odbor kultury a památkové péče</t>
  </si>
  <si>
    <t>ORJ - 13</t>
  </si>
  <si>
    <t>PhDr. Jindřich Garčic</t>
  </si>
  <si>
    <t>Neinv.transfery církvím a naboženským společnostem</t>
  </si>
  <si>
    <t>Neinvestiční transfery obcím</t>
  </si>
  <si>
    <t>Účelové neinvest. transf. nepodnikajícím fyz. osob</t>
  </si>
  <si>
    <t>Ostatní neinv.transfery veř.rozp.územní úrovně</t>
  </si>
  <si>
    <t>Investiční transf. ostat.příspěvkovým organizacím</t>
  </si>
  <si>
    <t>§ 3311, POL 5213 - Neinv.transfery nefin.podnik.subjektům-práv.osobám</t>
  </si>
  <si>
    <t>§ 3311, POL 5321 - Neinvestiční transfery obcím</t>
  </si>
  <si>
    <t>§ 3312, POL 5321 - Neinvestiční transfery obcím</t>
  </si>
  <si>
    <t>§ 3314, POL 5321 - Neinvestiční transfery obcím</t>
  </si>
  <si>
    <t>§ 3315, POL 5339 - Neinvestiční transfery cizím příspěvkovým organ.</t>
  </si>
  <si>
    <t>§ 3319, POL 5166 - Konzultační, poradenské a právní služby</t>
  </si>
  <si>
    <t>§ 3319, POL 5169 - Nákup ostatních služeb</t>
  </si>
  <si>
    <t>§ 3319, POL 5194 - Věcné dary</t>
  </si>
  <si>
    <t>§ 3322, POL 5223 - Neinv.transfery církvím a naboženským společnostem</t>
  </si>
  <si>
    <t>Odbor dopravy a silničního hospodářství</t>
  </si>
  <si>
    <t>ORJ - 12</t>
  </si>
  <si>
    <t>Ing. Zdeněk Kocourek</t>
  </si>
  <si>
    <t>Inv.transfery vybran.podn.subj.ve vlastn. státu</t>
  </si>
  <si>
    <t>Výdaje na dopravní územní obslužnost</t>
  </si>
  <si>
    <t>§ 2219, POL 6341 - Investiční transfery obcím</t>
  </si>
  <si>
    <t>§ 2221, POL 5193 - Výdaje na dopravní územní obslužnost</t>
  </si>
  <si>
    <t>§ 2223, POL 5166 - Konzultační, poradenské a právní služby</t>
  </si>
  <si>
    <t>§ 2223, POL 5192 - Poskytnuté neinvestiční příspěvky a náhrady (část)</t>
  </si>
  <si>
    <t>§ 2223, POL 5339 - Neinvestiční transfery cizím příspěvkovým organ.</t>
  </si>
  <si>
    <t>§ 2242, POL 5193 - Výdaje na dopravní územní obslužnost</t>
  </si>
  <si>
    <t>Odbor sociálních věcí</t>
  </si>
  <si>
    <t>ORJ - 11</t>
  </si>
  <si>
    <t>PhDr. Markéta Čožíková</t>
  </si>
  <si>
    <t>Realizované kurzové ztráty</t>
  </si>
  <si>
    <t>§ 4339, POL 5169 - Nákup ostatních služeb</t>
  </si>
  <si>
    <t>§ 4349, POL 5169 - Nákup ostatních služeb</t>
  </si>
  <si>
    <t>§ 4399, POL 5175 - Pohoštění</t>
  </si>
  <si>
    <t>§ 6172, POL 5161 - Služby pošt</t>
  </si>
  <si>
    <t>Odbor školství, mládeže a tělovýchovy</t>
  </si>
  <si>
    <t>ORJ - 10</t>
  </si>
  <si>
    <t>Mgr. Miroslav Gajdůšek, MBA</t>
  </si>
  <si>
    <t>Peněžní dary do zahraničí</t>
  </si>
  <si>
    <t>Ostatní platy</t>
  </si>
  <si>
    <t>Ostatní povinné pojistné placené zaměstnavatelem</t>
  </si>
  <si>
    <t>Investiční transf.obecně prospěšným společnostem</t>
  </si>
  <si>
    <t>Inv.transfery nefinančním podnik.subj.-právn.osob</t>
  </si>
  <si>
    <t>§ 3269, POL 5019 - Ostatní platy</t>
  </si>
  <si>
    <t>§ 3269, POL 5039 - Ostatní povinné pojistné placené zaměstnavatelem</t>
  </si>
  <si>
    <t>§ 3269, POL 5139 - Nákup materiálu j.n.</t>
  </si>
  <si>
    <t>§ 3269, POL 5162 - Služby telekomunikací a radiokomunikací</t>
  </si>
  <si>
    <t>§ 3269, POL 5164 - Nájemné</t>
  </si>
  <si>
    <t>§ 3269, POL 5169 - Nákup ostatních služeb</t>
  </si>
  <si>
    <t>§ 3269, POL 5175 - Pohoštění</t>
  </si>
  <si>
    <t>§ 3269, POL 5194 - Věcné dary</t>
  </si>
  <si>
    <t>§ 3269, POL 5493 - Účelové neinvest. transf. nepodnikajícím fyz. osob</t>
  </si>
  <si>
    <t>§ 3269, POL 5499 - Ostatní neinvestiční transfery obyvatelstvu</t>
  </si>
  <si>
    <t>§ 3299, POL 5213 - Neinv.transfery nefin.podnik.subjektům-práv.osobám</t>
  </si>
  <si>
    <t>§ 3299, POL 5331 - Neinvestiční příspěvky zřízeným příspěvkovým organ</t>
  </si>
  <si>
    <t>§ 3299, POL 5339 - Neinvestiční transfery cizím příspěvkovým organ.</t>
  </si>
  <si>
    <t>§ 3299, POL 5493 - Účelové neinvest. transf. nepodnikajícím fyz. osob</t>
  </si>
  <si>
    <t>§ 3299, POL 6359 - Investiční transf. ostat.příspěvkovým organizacím</t>
  </si>
  <si>
    <t>§ 3419, POL 5222 - Neinvestiční transfery občanským sdružením</t>
  </si>
  <si>
    <t>§ 3419, POL 5229 - Ostatní neinv.transfery nezisk.a podob.organizacím</t>
  </si>
  <si>
    <t>§ 3792, POL 5164 - Nájemné</t>
  </si>
  <si>
    <t>§ 3792, POL 5169 - Nákup ostatních služeb</t>
  </si>
  <si>
    <t>§ 3792, POL 5175 - Pohoštění</t>
  </si>
  <si>
    <t>§ 3792, POL 5331 - Neinvestiční příspěvky zřízeným příspěvkovým organ</t>
  </si>
  <si>
    <t>Odbor životního prostředí a zemědělství</t>
  </si>
  <si>
    <t>ORJ - 09</t>
  </si>
  <si>
    <t>Nájemné za půdu</t>
  </si>
  <si>
    <t>Prádlo, oděv a obuv</t>
  </si>
  <si>
    <t>Služby zpracování dat</t>
  </si>
  <si>
    <t>§ 1014, POL 5321 - Neinvestiční transfery obcím</t>
  </si>
  <si>
    <t>§ 1019, POL 5169 - Nákup ostatních služeb</t>
  </si>
  <si>
    <t>§ 1032, POL 5165 - Nájemné za půdu</t>
  </si>
  <si>
    <t>§ 1036, POL 5134 - Prádlo, oděv a obuv</t>
  </si>
  <si>
    <t>§ 1036, POL 5169 - Nákup ostatních služeb</t>
  </si>
  <si>
    <t>§ 1037, POL 5169 - Nákup ostatních služeb</t>
  </si>
  <si>
    <t>§ 1037, POL 5213 - Neinv.transfery nefin.podnik.subjektům-práv.osobám</t>
  </si>
  <si>
    <t>§ 1099, POL 5166 - Konzultační, poradenské a právní služby</t>
  </si>
  <si>
    <t>§ 1099, POL 5192 - Poskytnuté neinvestiční příspěvky a náhrady (část)</t>
  </si>
  <si>
    <t>§ 1099, POL 5493 - Účelové neinvest. transf. nepodnikajícím fyz. osob</t>
  </si>
  <si>
    <t>§ 2310, POL 5321 - Neinvestiční transfery obcím</t>
  </si>
  <si>
    <t>§ 2369, POL 5166 - Konzultační, poradenské a právní služby</t>
  </si>
  <si>
    <t>§ 2399, POL 6313 - Inv.transfery nefinančním podnik.subj.-právn.osob</t>
  </si>
  <si>
    <t>§ 3719, POL 5166 - Konzultační, poradenské a právní služby</t>
  </si>
  <si>
    <t>§ 3719, POL 5168 - Služby zpracování dat</t>
  </si>
  <si>
    <t>§ 3725, POL 5169 - Nákup ostatních služeb</t>
  </si>
  <si>
    <t>§ 3729, POL 5166 - Konzultační, poradenské a právní služby</t>
  </si>
  <si>
    <t>§ 3741, POL 5169 - Nákup ostatních služeb</t>
  </si>
  <si>
    <t>§ 3742, POL 5166 - Konzultační, poradenské a právní služby</t>
  </si>
  <si>
    <t>§ 3742, POL 5169 - Nákup ostatních služeb</t>
  </si>
  <si>
    <t>§ 3769, POL 5166 - Konzultační, poradenské a právní služby</t>
  </si>
  <si>
    <t>§ 3769, POL 5169 - Nákup ostatních služeb</t>
  </si>
  <si>
    <t>Odbor strategického rozvoje kraje</t>
  </si>
  <si>
    <t>ORJ - 08</t>
  </si>
  <si>
    <t>Ostatní invest. transf.veř.rozpočtům územní úrovně</t>
  </si>
  <si>
    <t>Invest. transf.společenstvím vlastníků jednotek</t>
  </si>
  <si>
    <t>Účelové invest. transfery nepodnikajícím fyz. osob</t>
  </si>
  <si>
    <t>§ 2251, POL 5213 - Neinv.transfery nefin.podnik.subjektům-práv.osobám</t>
  </si>
  <si>
    <t>§ 2251, POL 6313 - Inv.transfery nefinančním podnik.subj.-právn.osob</t>
  </si>
  <si>
    <t>§ 3349, POL 5213 - Neinv.transfery nefin.podnik.subjektům-práv.osobám</t>
  </si>
  <si>
    <t>§ 3635, POL 5166 - Konzultační, poradenské a právní služby</t>
  </si>
  <si>
    <t>§ 3635, POL 5169 - Nákup ostatních služeb</t>
  </si>
  <si>
    <t>§ 3635, POL 5192 - Poskytnuté neinvestiční příspěvky a náhrady (část)</t>
  </si>
  <si>
    <t>§ 3636, POL 5229 - Ostatní neinv.transfery nezisk.a podob.organizacím</t>
  </si>
  <si>
    <t>§ 3639, POL 5164 - Nájemné</t>
  </si>
  <si>
    <t>§ 3639, POL 5166 - Konzultační, poradenské a právní služby</t>
  </si>
  <si>
    <t>§ 3639, POL 5169 - Nákup ostatních služeb</t>
  </si>
  <si>
    <t>§ 3639, POL 5212 - Neinv.transfery nefin.podnik.subjektům-fyz.osobám</t>
  </si>
  <si>
    <t>§ 3639, POL 5213 - Neinv.transfery nefin.podnik.subjektům-práv.osobám</t>
  </si>
  <si>
    <t>§ 3639, POL 5221 - Neinvestiční transf.obecně prospěšným společnostem</t>
  </si>
  <si>
    <t>§ 3639, POL 5229 - Ostatní neinv.transfery nezisk.a podob.organizacím</t>
  </si>
  <si>
    <t>§ 3639, POL 5321 - Neinvestiční transfery obcím</t>
  </si>
  <si>
    <t>§ 3713, POL 5169 - Nákup ostatních služeb</t>
  </si>
  <si>
    <t>§ 3713, POL 6122 - Stroje, přístroje a zařízení</t>
  </si>
  <si>
    <t>§ 6223, POL 5169 - Nákup ostatních služeb</t>
  </si>
  <si>
    <t>Odbor ekonomický</t>
  </si>
  <si>
    <t>ORJ - 07</t>
  </si>
  <si>
    <t>Ing. Jiří Juřena</t>
  </si>
  <si>
    <t>Neinvestiční transfery regionálním radám</t>
  </si>
  <si>
    <t>Úroky vlastní</t>
  </si>
  <si>
    <t>§ 6172, POL 5141 - Úroky vlastní</t>
  </si>
  <si>
    <t>§ 6172, POL 5142 - Realizované kurzové ztráty</t>
  </si>
  <si>
    <t>Odbor informačních technologií</t>
  </si>
  <si>
    <t>ORJ - 06</t>
  </si>
  <si>
    <t>Mgr. Jiří Šafránek</t>
  </si>
  <si>
    <t>§ 6172, POL 5137 - Drobný hmotný dlouhodobý majetek</t>
  </si>
  <si>
    <t>§ 6172, POL 5139 - Nákup materiálu j.n.</t>
  </si>
  <si>
    <t>§ 6172, POL 5168 - Služby zpracování dat</t>
  </si>
  <si>
    <t>§ 6172, POL 5171 - Opravy a udržování</t>
  </si>
  <si>
    <t>§ 6172, POL 5172 - Programové vybavení</t>
  </si>
  <si>
    <t>Odbor správní a legislativní</t>
  </si>
  <si>
    <t>ORJ - 05</t>
  </si>
  <si>
    <t>JUDr. Marie Mazánková</t>
  </si>
  <si>
    <t>Odbor majetkový a právní</t>
  </si>
  <si>
    <t>ORJ - 04</t>
  </si>
  <si>
    <t>Mgr. Hana Kamasová</t>
  </si>
  <si>
    <t>§ 6172, POL 6130 - Pozemky</t>
  </si>
  <si>
    <t>Kancelář ředitele</t>
  </si>
  <si>
    <t>ORJ - 03</t>
  </si>
  <si>
    <t>Odstupné</t>
  </si>
  <si>
    <t>Ostatní platby za provedenou práci jinde nezařazen</t>
  </si>
  <si>
    <t>Povinné pojistné na úrazové pojištění</t>
  </si>
  <si>
    <t>Studená voda</t>
  </si>
  <si>
    <t>Teplo</t>
  </si>
  <si>
    <t>Plyn</t>
  </si>
  <si>
    <t>Elektrická energie</t>
  </si>
  <si>
    <t>Pohonné hmoty a maziva</t>
  </si>
  <si>
    <t>Teplá voda</t>
  </si>
  <si>
    <t>Nákup ostatních paliv a energie</t>
  </si>
  <si>
    <t>Neinvestiční transfery krajům</t>
  </si>
  <si>
    <t>Převody FKSP a sociálnímu fondu obcí a krajů</t>
  </si>
  <si>
    <t>Nákup kolků</t>
  </si>
  <si>
    <t>Náhrady mezd v době nemoci</t>
  </si>
  <si>
    <t>Dopravní prostředky</t>
  </si>
  <si>
    <t>§ 6172, POL 5011 - Platy zaměstnanců v pracovním poměru</t>
  </si>
  <si>
    <t>§ 6172, POL 5024 - Odstupné</t>
  </si>
  <si>
    <t>§ 6172, POL 5029 - Ostatní platby za provedenou práci jinde nezařazen</t>
  </si>
  <si>
    <t>§ 6172, POL 5031 - Povinné poj.na soc.zab.a přísp.na st.pol.zaměstnan</t>
  </si>
  <si>
    <t>§ 6172, POL 5032 - Povinné poj.na veřejné zdravotní pojištění</t>
  </si>
  <si>
    <t>§ 6172, POL 5038 - Povinné pojistné na úrazové pojištění</t>
  </si>
  <si>
    <t>§ 6172, POL 5039 - Ostatní povinné pojistné placené zaměstnavatelem</t>
  </si>
  <si>
    <t>§ 6172, POL 5134 - Prádlo, oděv a obuv</t>
  </si>
  <si>
    <t>§ 6172, POL 5136 - Knihy, učební pomůcky a tisk</t>
  </si>
  <si>
    <t>§ 6172, POL 5151 - Studená voda</t>
  </si>
  <si>
    <t>§ 6172, POL 5152 - Teplo</t>
  </si>
  <si>
    <t>§ 6172, POL 5153 - Plyn</t>
  </si>
  <si>
    <t>§ 6172, POL 5154 - Elektrická energie</t>
  </si>
  <si>
    <t>§ 6172, POL 5156 - Pohonné hmoty a maziva</t>
  </si>
  <si>
    <t>§ 6172, POL 5157 - Teplá voda</t>
  </si>
  <si>
    <t>§ 6172, POL 5159 - Nákup ostatních paliv a energie</t>
  </si>
  <si>
    <t>§ 6172, POL 5162 - Služby telekomunikací a radiokomunikací</t>
  </si>
  <si>
    <t>§ 6172, POL 5167 - Služby školení a vzdělávání</t>
  </si>
  <si>
    <t>§ 6172, POL 5173 - Cestovné (tuzemské i zahraniční)</t>
  </si>
  <si>
    <t>§ 6172, POL 5176 - Účastnické poplatky na konference</t>
  </si>
  <si>
    <t>§ 6172, POL 5189 - Ostatní poskytované zálohy a jistiny</t>
  </si>
  <si>
    <t>§ 6172, POL 5194 - Věcné dary</t>
  </si>
  <si>
    <t>§ 6172, POL 5323 - Neinvestiční transfery krajům</t>
  </si>
  <si>
    <t>§ 6172, POL 5361 - Nákup kolků</t>
  </si>
  <si>
    <t>§ 6172, POL 5424 - Náhrady mezd v době nemoci</t>
  </si>
  <si>
    <t>§ 6330, POL 5342 - Převody FKSP a sociálnímu fondu obcí a krajů</t>
  </si>
  <si>
    <t>Kancelář hejtmana</t>
  </si>
  <si>
    <t>ORJ - 02</t>
  </si>
  <si>
    <t>Ing. Luděk Niče</t>
  </si>
  <si>
    <t>Ostatní neinv.půjčené prostř.nezisk.a podob.organ.</t>
  </si>
  <si>
    <t>Převody vlast. fondům hospodářské(podnikat.)činnos</t>
  </si>
  <si>
    <t>Investiční půjčené prostředky obcím</t>
  </si>
  <si>
    <t>Neinv.transfery státnímu rozpočtu</t>
  </si>
  <si>
    <t>§ 2143, POL 5212 - Neinv.transfery nefin.podnik.subjektům-fyz.osobám</t>
  </si>
  <si>
    <t>§ 2143, POL 5222 - Neinvestiční transfery občanským sdružením</t>
  </si>
  <si>
    <t>§ 2143, POL 5229 - Ostatní neinv.transfery nezisk.a podob.organizacím</t>
  </si>
  <si>
    <t>§ 2143, POL 5321 - Neinvestiční transfery obcím</t>
  </si>
  <si>
    <t>§ 2143, POL 5629 - Ostatní neinv.půjčené prostř.nezisk.a podob.organ.</t>
  </si>
  <si>
    <t>§ 2144, POL 5169 - Nákup ostatních služeb</t>
  </si>
  <si>
    <t>§ 2144, POL 5321 - Neinvestiční transfery obcím</t>
  </si>
  <si>
    <t>§ 2144, POL 5499 - Ostatní neinvestiční transfery obyvatelstvu</t>
  </si>
  <si>
    <t>§ 3326, POL 6341 - Investiční transfery obcím</t>
  </si>
  <si>
    <t>§ 3341, POL 5169 - Nákup ostatních služeb</t>
  </si>
  <si>
    <t>§ 3349, POL 5169 - Nákup ostatních služeb</t>
  </si>
  <si>
    <t>§ 5272, POL 5168 - Služby zpracování dat</t>
  </si>
  <si>
    <t>§ 5273, POL 5134 - Prádlo, oděv a obuv</t>
  </si>
  <si>
    <t>§ 5273, POL 5136 - Knihy, učební pomůcky a tisk</t>
  </si>
  <si>
    <t>§ 5273, POL 5137 - Drobný hmotný dlouhodobý majetek</t>
  </si>
  <si>
    <t>§ 5273, POL 5139 - Nákup materiálu j.n.</t>
  </si>
  <si>
    <t>§ 5273, POL 5164 - Nájemné</t>
  </si>
  <si>
    <t>§ 5273, POL 5169 - Nákup ostatních služeb</t>
  </si>
  <si>
    <t>§ 5273, POL 5175 - Pohoštění</t>
  </si>
  <si>
    <t>§ 5273, POL 5222 - Neinvestiční transfery občanským sdružením</t>
  </si>
  <si>
    <t>§ 5273, POL 5901 - Nespecifikované rezervy</t>
  </si>
  <si>
    <t>§ 5512, POL 5321 - Neinvestiční transfery obcím</t>
  </si>
  <si>
    <t>§ 5529, POL 5169 - Nákup ostatních služeb</t>
  </si>
  <si>
    <t>§ 6409, POL 5169 - Nákup ostatních služeb</t>
  </si>
  <si>
    <t>Zastupitelé</t>
  </si>
  <si>
    <t>ORJ - 01</t>
  </si>
  <si>
    <t>Odměny členů zastupitelstva obcí a krajů</t>
  </si>
  <si>
    <t>§ 6113, POL 5019 - Ostatní platy</t>
  </si>
  <si>
    <t>§ 6113, POL 5021 - Ostatní osobní výdaje</t>
  </si>
  <si>
    <t>§ 6113, POL 5023 - Odměny členů zastupitelstva obcí a krajů</t>
  </si>
  <si>
    <t>§ 6113, POL 5031 - Povinné poj.na soc.zab.a přísp.na st.pol.zaměstnan</t>
  </si>
  <si>
    <t>§ 6113, POL 5032 - Povinné poj.na veřejné zdravotní pojištění</t>
  </si>
  <si>
    <t>§ 6113, POL 5039 - Ostatní povinné pojistné placené zaměstnavatelem</t>
  </si>
  <si>
    <t>§ 6113, POL 5136 - Knihy, učební pomůcky a tisk</t>
  </si>
  <si>
    <t>§ 6113, POL 5137 - Drobný hmotný dlouhodobý majetek</t>
  </si>
  <si>
    <t>§ 6113, POL 5139 - Nákup materiálu j.n.</t>
  </si>
  <si>
    <t>§ 6113, POL 5142 - Realizované kurzové ztráty</t>
  </si>
  <si>
    <t>§ 6113, POL 5151 - Studená voda</t>
  </si>
  <si>
    <t>§ 6113, POL 5152 - Teplo</t>
  </si>
  <si>
    <t>§ 6113, POL 5154 - Elektrická energie</t>
  </si>
  <si>
    <t>§ 6113, POL 5156 - Pohonné hmoty a maziva</t>
  </si>
  <si>
    <t>§ 6113, POL 5161 - Služby pošt</t>
  </si>
  <si>
    <t>§ 6113, POL 5162 - Služby telekomunikací a radiokomunikací</t>
  </si>
  <si>
    <t>§ 6113, POL 5163 - Služby peněžních ústavů</t>
  </si>
  <si>
    <t>§ 6113, POL 5164 - Nájemné</t>
  </si>
  <si>
    <t>§ 6113, POL 5166 - Konzultační, poradenské a právní služby</t>
  </si>
  <si>
    <t>§ 6113, POL 5167 - Služby školení a vzdělávání</t>
  </si>
  <si>
    <t>§ 6113, POL 5171 - Opravy a udržování</t>
  </si>
  <si>
    <t>§ 6113, POL 5172 - Programové vybavení</t>
  </si>
  <si>
    <t>§ 6113, POL 5173 - Cestovné (tuzemské i zahraniční)</t>
  </si>
  <si>
    <t>§ 6113, POL 5175 - Pohoštění</t>
  </si>
  <si>
    <t>§ 6113, POL 5176 - Účastnické poplatky na konference</t>
  </si>
  <si>
    <t>§ 6113, POL 5189 - Ostatní poskytované zálohy a jistiny</t>
  </si>
  <si>
    <t>§ 6113, POL 5194 - Věcné dary</t>
  </si>
  <si>
    <t>§ 6113, POL 5229 - Ostatní neinv.transfery nezisk.a podob.organizacím</t>
  </si>
  <si>
    <t>§ 6113, POL 5361 - Nákup kolků</t>
  </si>
  <si>
    <t>§ 6113, POL 5362 - Platby daní a poplatků státnímu rozpočtu</t>
  </si>
  <si>
    <t>§ 6113, POL 5424 - Náhrady mezd v době nemoci</t>
  </si>
  <si>
    <t>§ 6113, POL 5492 - Dary obyvatelstvu</t>
  </si>
  <si>
    <t xml:space="preserve">Náklady spojené s dočasnými záběry pozemků pro realizaci staveb  
</t>
  </si>
  <si>
    <t xml:space="preserve">Náklady spojené s úhradou poplatků a daní.  
</t>
  </si>
  <si>
    <t xml:space="preserve">Zubní LSPP pro šumpersko a jesenicko  
</t>
  </si>
  <si>
    <t xml:space="preserve">Na provoz záchytné stanice při Vojenské nemocnici Olomouc  
</t>
  </si>
  <si>
    <t xml:space="preserve">Na zajištění lékárenské služby o vánočních svátcích  
</t>
  </si>
  <si>
    <t xml:space="preserve">Program Zdraví 21pro všechny ve 21. století (WHO), dle jednání se zainteresovanými organizacemi.  
</t>
  </si>
  <si>
    <t xml:space="preserve">Služby pro výkon státní správy v oblasti výběrových řízeních zdravotnických zařízení  
</t>
  </si>
  <si>
    <t xml:space="preserve">Úhrada nákladů za likvidaci nepoužitelných léčiv  
</t>
  </si>
  <si>
    <t xml:space="preserve">Úhrada nákladů na očkování proti TBC, kalmetizace.  
</t>
  </si>
  <si>
    <t xml:space="preserve">Inzerce pro personální výběrová řízení, psychologická vyšetření  
</t>
  </si>
  <si>
    <t xml:space="preserve">Jedná se o příspěvek Divadlu Šumperk s.r.o. na zajištění regionální funkce divadla v Šumperku (ÚZ 200). 
</t>
  </si>
  <si>
    <t xml:space="preserve">Regionální inovační strategie Olomouckého kraje - vytvoření/rozvoj nových mezioborových studijních programů UP/MVŠO/VŠLG  
</t>
  </si>
  <si>
    <t xml:space="preserve">Stipendijní řád Olomouckého kraje 
Poskytnutí příspěvku žadatelů (SŠ, VOŠ, VŠ) na studijní pobyt v zahraničí.  
</t>
  </si>
  <si>
    <t xml:space="preserve">Regionální inovační strategie Olomouckého kraje - specializovaná stipendia  
</t>
  </si>
  <si>
    <t xml:space="preserve">Kurzové ztráty týkající se pohybu finančních prostředků na bankovních účtech vedených v EUR.  
</t>
  </si>
  <si>
    <t xml:space="preserve">Jedná se o služby spojené s vedením bankovních účtů - za vedení účtů, poplatky za položky apod.  
</t>
  </si>
  <si>
    <t xml:space="preserve">Jedná se o pojištění platebních karet.  
</t>
  </si>
  <si>
    <t xml:space="preserve">Jedná se o výdaje na úhradu nákladů na bezpečnostní schránky zřízené u Komerční banky, a.s. 
1. schránka - akcie Regionálního letiště Přerov a.s. - 1020 Kč/rok + DPH 
2. schránka - akcie Středomoravské nemocniční a.s. - 2 805 Kč/ rok + DPH 
</t>
  </si>
  <si>
    <t xml:space="preserve">Materiál na opravy prováděné svépomocí.  
</t>
  </si>
  <si>
    <t xml:space="preserve">Nákup drobného SW od stávajících i nových firem. 
</t>
  </si>
  <si>
    <t xml:space="preserve">Výdaje související s právním poradenstvím.  
</t>
  </si>
  <si>
    <t xml:space="preserve">Tato položka je zřízena pro úhradu poplatků v souvislosti s pořizováním nemovitého majetku.  
</t>
  </si>
  <si>
    <t xml:space="preserve"> 
</t>
  </si>
  <si>
    <t xml:space="preserve">Pohonné hmoty jsou čerpány prostřednictvím karet CCS. Návrh rozpočtu vychází z reality roku 2011.  
</t>
  </si>
  <si>
    <t xml:space="preserve">Pro rok 2012 navrhujeme finanční prostředky na konference zvýšit vzhledem k vyššímu čerpání v roce 2011.  
</t>
  </si>
  <si>
    <t xml:space="preserve">Vzhledem k čerpání roku 2011 navrhujeme výši položky náhrady pro rok 2012 ponechat ve stejné výši.                       
</t>
  </si>
  <si>
    <t xml:space="preserve">Pro rok 2012 navrhujeme ponechat příděl ve stejné výši jako v roce 2011, tj. ve výši 3,5%.                             
</t>
  </si>
  <si>
    <t xml:space="preserve">Nákup pohoštění pro pracovní partnery při jednáních v expozici Olomouckého kraje v době konání veletrhů a výstav cestovního ruchu.  
</t>
  </si>
  <si>
    <t xml:space="preserve">Výdaje na podporu medializace Olomouckého kraje (v roce 2011: TV Morava, ZZIP a Televize Přerov).  
</t>
  </si>
  <si>
    <t xml:space="preserve">Dovybavení stalého pracoviště krizového štábu pracoviště krizového řízení dle požadavků Ministerstva vnitra ČR.  
</t>
  </si>
  <si>
    <t xml:space="preserve">Nákup služeb spojených se zpracovním dat souvisejících s monitoringem webu Olomouckého kraje.  
</t>
  </si>
  <si>
    <t xml:space="preserve">Zahrnuje především výdaje: 
 - za překladatelské služby při zahraničních návštěvách, překlady textů, smluv...pro činnost KH a popřípadě i dalších odborů KÚOK  
 - za informační aktivity ve vztahu k EU zajišťované KÚOK  
 - za zhotovení fotografií z akcí kraje (prezentační akce,..)  
 - za grafické práce vč. potisků prvků ediční řady (při zpracování projektů v rámci položek jinak řazených do 5139)  
Dále lze na tuto položku zařadit výdaje: 
- spojené s aktualizací grafického manuálu znaku a logaOlomouckého kraje  
- za reprografické práce (při nemožnosti zajištění v rámci techniky KÚOK).  
</t>
  </si>
  <si>
    <t xml:space="preserve">Výše výdajů této položky je stanovena výpočtem z položky 5023 – uvolnění (25%).  
</t>
  </si>
  <si>
    <t xml:space="preserve">Prostředky na úhradu kurzových rozdílů při vyúčtování zahraničních pracovních cest členů zastupitelstva.  
</t>
  </si>
  <si>
    <t xml:space="preserve">Výše této položky je stanovena s přihlédnutím k nízkému čerpání v roce 2003-2011, kdy se v minulosti na dané položce čerpaly  
prostředky především v souvislosti s mimořádným odesíláním materiálů členům ZOK (při předání poště mimo podatelnu).  
</t>
  </si>
  <si>
    <t xml:space="preserve">Požadavek vychází z výše skutečně čerpaných výdajů na této položce v průběhu roku 2011.  
</t>
  </si>
  <si>
    <t xml:space="preserve">Do rozpočtu této položky byl zařazen plánovaný členský příspěvek v Asociaci krajů ČR.  
</t>
  </si>
  <si>
    <t xml:space="preserve">V souvislosti s platnou legislativou a po dohodě s personálním oddělením KŘ navrhujeme rozpočtovat i tuto položku.  
</t>
  </si>
  <si>
    <t xml:space="preserve">Poskytnutí finančního daru prvnímu narozenému občánku kraje v roce 2012.  
</t>
  </si>
  <si>
    <t>Inv.transfery obecně prospěš.spol.</t>
  </si>
  <si>
    <t xml:space="preserve">a) Odbory (kanceláře) Krajského úřadu Olomouckého kraje </t>
  </si>
  <si>
    <t>v tis.Kč</t>
  </si>
  <si>
    <t>Odbor (kancelář)</t>
  </si>
  <si>
    <t>ORJ</t>
  </si>
  <si>
    <t xml:space="preserve">Odbor majetkový a právní </t>
  </si>
  <si>
    <t xml:space="preserve">Odbor správní a legislativní </t>
  </si>
  <si>
    <t xml:space="preserve">Odbor ekonomický  </t>
  </si>
  <si>
    <t xml:space="preserve">Odbor strategického rozvoje kraje </t>
  </si>
  <si>
    <t xml:space="preserve">Odbor životního prostředí a zemědělství </t>
  </si>
  <si>
    <t xml:space="preserve">Odbor sociálních věcí </t>
  </si>
  <si>
    <t xml:space="preserve">Odbor dopravy a silničního hospodářství </t>
  </si>
  <si>
    <t xml:space="preserve">Odbor zdravotnictví </t>
  </si>
  <si>
    <t xml:space="preserve">Útvar interního auditu </t>
  </si>
  <si>
    <t>Oddělení investic a evropských programů</t>
  </si>
  <si>
    <t xml:space="preserve">Celkem </t>
  </si>
  <si>
    <t>3. Výdaje Olomouckého kraje na rok 2012</t>
  </si>
  <si>
    <t xml:space="preserve">Náklady na aktualizaci webu (www.izsol.cz) pro potřeby krizového řízení a složky Integrovaného záchranného systému Olomouckého kraje, dále se jedná o náklady na celoroční provoz webu s povodňovým plánem Olomouckého kraje (www.povodnovyplan.cz) a celoroční aktualizaci dat na tomto webu, včetně mapových podkladů.  
</t>
  </si>
  <si>
    <t xml:space="preserve">Na této položce jsou finanční prostředky na pořízení vybavení pro potřebu Krizového štábu Olomouckého kraje, Povodňové komise Olomouckého kraje a členy Bezpečnostní rady Olomouckého kraje.  
</t>
  </si>
  <si>
    <t xml:space="preserve">Na této položce jsou vyčleněny prostředky pro úhrady smluvní částky za propagaci akcí kraje - smlouva s TK PLUS s.r.o. 2010/05495/KH/DSM).   
</t>
  </si>
  <si>
    <t xml:space="preserve">Regionální centrum Olomouc, s. r. o., Olomouc - Smlouva o zajištění služeb č. R/S/2008/001, na položce 5157 - jsou účtovány úhrady dle skutečně odebraných jednotek dle uzavřené smlouvy.                                                                
</t>
  </si>
  <si>
    <t xml:space="preserve">Nafta do náhradního zdroje elektrické energie. - 5 tis. Kč  
</t>
  </si>
  <si>
    <t xml:space="preserve">Hrazení poštovného. - 1 500 tis. Kč  
</t>
  </si>
  <si>
    <t xml:space="preserve">1. Česká pojišťovna, a.s. Praha - Pojistná smlouva o pojištění vozidel č. 5347498810. Havarijní pojištění vozidel, úhrady čtvrtletní dle stanovených splátek. - 230 tis. Kč 
2. Allianz pojišťovna, a.s. Praha - skupinová pojistná smlouva AUTOFLOTILY2006. Skupinová pojistná smlouva pro pojištění odpovědnosti za škodu způsobenou provozem vozidel č. 898188314. -  110 tis. Kč 
3. Kooperativa, pojišťovna, a.s. Praha - Rámcová pojistná smlouva - cestovní pojištění zaměstnancnů KÚOK. -  50tis. Kč 
4. Pojištění platebních karet MERLIN - 10 tis. Kč 
</t>
  </si>
  <si>
    <t xml:space="preserve">1. Ing. Klimíček, Olomouc - Smlouva o poskytování poraneství a služeb v oblasti  bezpečnosti práce a požární ochrany, ve znění pozdějších dodatků. - 90 tis. Kč 
2. Ostatní platby na základě uzavřených objednávek - posuzování neopravitelnosti DHIM před pořízením nových předmětů, revizní zprávy vyplývající z revizí technologických zařízení, ostatní konzultace a poradenství, znalecké posudky.  - 110 tis. kč         
</t>
  </si>
  <si>
    <t xml:space="preserve">Povinné vzdělávání zaměstnanců dle zákona č. 312/2002 Sb., o úřednících ÚSC a o změně některých zákonů, ve znění pozdějších předpisů, (vstupní vzdělávání, průběžné vzdělávání, ZOZ). Další vzdělávání dle plánu vzdělávání zaměstnanců krajského úřadu. Vzhledem k delimitaci zaměstnanců OSV a ODSH navrhujeme pro rok 2012 nižší čerpání finanních prostředků.               
</t>
  </si>
  <si>
    <t xml:space="preserve">Výše výdajů ja navrhována v souladu se současnou Pojistnou smlouvou č. 772009814, ve znění dodatků s Kooperativou, pojišťovnou, a.s., s tím, že odbor majetkový a právní předpokládá, že v roce 2012 bude vysoutěžena vyší částka na pojištění majetku Olomouckého kraje. 
</t>
  </si>
  <si>
    <t xml:space="preserve">Tyto výdaje v majetkoprávních a jiných záležitostech pro Olomoucký kraj a Krajský úřad Olomouckého kraje zahrnují výdaje na  základě uzavřené smlouvy s AK Ritter-Šťastný, výdaje na vyhotovení znaleckých posudků a geometrických plánů. Podstatnou část těchto výdajů představují výdaje na vyhotovování geometrických plánů v souvislosti s převody silničních pozemků mezi Olomouckým krajem, městy a obcemi Olomouckého kraje a náklady na vyhotovení znaleckých posudků pro výkupy silničních pozemků z vlastnictví  třetích osob. 
</t>
  </si>
  <si>
    <t xml:space="preserve">Tato položka zahrnuje zejména výdaje za jednorázové úhrady v souvislosti se zřizováním věcných břemen ve prospěch Olomouckého kraje, resp. ve prospěch nemovitostí ve vlastnictví Olomouckého kraje, a dále výdaje na pořízení kopií geometrických plánů, fotodokumentace, uveřejnění informací o veřejných zakázkách na centrální adrese, inzercí záměrů Olomouckého kraje v tisku, případně další služby. 
</t>
  </si>
  <si>
    <t xml:space="preserve">Tato položka je zřizována pro úhradu poplatků za ověřování listin, podpisů, případně poštovních poplatků organizacím v souvislosti s pořizováním nemovitého majetku. 
</t>
  </si>
  <si>
    <t xml:space="preserve">Tyto výdaje zahrnují úhradu poplatků třetím osobám za ověřování podpisů, ověřování listin a na úhradu poštovních poplatků v  souvislosti s uzavíranými kupními smlouvami na výkupy pozemků zastavěných silnicemi II. a III. třídy. 
</t>
  </si>
  <si>
    <t xml:space="preserve">Tyto výdaje budou použity zejména na majetkoprávní vypořádání odkupu pozemků pod silnicemi II. a III. třídy z vlastnictví třetích osob  do vlastnictví Olomouckého kraje, popřípadě na pořízení pozemků potřebných pro činnost příspěvkových organizací Olomouckého kraje.  
</t>
  </si>
  <si>
    <t xml:space="preserve">Smlouva o úvěru ve výši 900 mil. Kč s Evropskou investiční bankou na projekt "Modernizace silnic II. a III. třídy v Olomouckém kraji. Úvěr je ve fázi splácení.  
</t>
  </si>
  <si>
    <t xml:space="preserve">Pořízení služebních stejnokrojů - odborní zaměstnanci státní správy lesů, myslivosti a rybářství jsou oprávnění při výkonu své funkce nosit služební stejnokroj 
 - státní správa lesů § 51 odst. 2 zákona č. 289/1995 Sb., o lesích                                                           
 - státní správa myslivosti § 61 odst. 4 zákona č. 449/2001 Sb., o myslivosti 
- státní správa rybářství § 25 zákona č. 99/2004 Sb., o rybářství                                                           
Na základě úplného znění VP č. 1/2002, o stanovení okruhu odborných zaměstnanců KÚOK, kterým se k výkonu funkce přiděluje služební stejnokroj, bude mít v roce 2011 nárok na přidělení nebo obnovu stejnokroje 8 zaměstnanců.  
</t>
  </si>
  <si>
    <t xml:space="preserve">Rada Olomouckého kraje usnesením UR/71/31/2011 ze dne 13. 09. 2011 uložila vedoucímu odboru životního prostředí uplatnit finanční požadavky na realizaci úpravy porostu podél hradu Helfštýn v rozpočtu 2012. Konkrétně se jedná o těžbu, přiblížení hmoty z lesního porostu a úklid klestu na vytěžené ploše.  
</t>
  </si>
  <si>
    <t xml:space="preserve">Poskytování finančních příspěvků na hospodaření v lesích, jejichž předmět je příkladně uveden v ustanovení § 46 zákona č. 289/1995 Sb., o lesích. Finanční prostředky vyčleněné na tyto příspěvky (nemandatorní výdaje) byly ze státního rozpočtu převedeny do rozpočtu krajů poprvé již v roce 2005. Finanční příspěvky poskytoval kraj v letech2005 - 2011. Pravidla pro poskytování finančních příspěvků na hospodaření v lesích na území Olomouckého kraje pro období 2007 - 2013 byla notifikována Evropskou komisí a schválena usnesením ZOK č. UZ/16/37/2007 ze dne 05. 03. 2007. Vzhledem ke zkušenostem z předcházejících let budou poskytovány finanční příspěvky z rozpočtu kraje na tato opatření: 
a) obnova, zajištění a výchova lesních porostů,                                                                         
b) ekologické a přírodě šetrné technologie.  
</t>
  </si>
  <si>
    <t xml:space="preserve">Úhrada nákladů soudních řízení v případě prohry soudních sporů. Termín pro uhrazení nákladů soudních řízení bývá v rozhodnutí soudu stanoven v řádu několika dní.  
</t>
  </si>
  <si>
    <t xml:space="preserve">Rada Olomouckého kraje usnesením UR/71/31/2011 ze dne 13. 09. 2011 uložila vedoucímu odboru životního prostředí uplatnit finanční požadavky na realizaci úpravy porostů podél hradu Helfštýn v rozpočtu 2012. Konkrétně se jedná o úhradu vlastníku lesních pozemků za újmy nebo škody způsobené na lesích v závislosti na rozsahu zásahu v jednotlivých porostních skupinách z důvodu předčasného smýcení, snížení produkce lesního porostu. Výpočet výše úhrady bude proveden podle vyhlášky Ministerstva zemědělství č. 55/1999 Sb., o způsobu výpočtu výše újmy nebo škody způsobené na lesích, v závislosti na rozsahu zásahu v jednotlivých porostních skupinách.  
</t>
  </si>
  <si>
    <t xml:space="preserve">Olomoucký kraj poskytoval v rámci Programu podpory začínajícím a evidovaným včelařům v letech 2008, 2009 a 2011 dotace na nákup  včelařského vybavení a včelstev. Je skutečností, že včelařů a včelstev v poslední době ubývá. V rozmezí od roku 2006 doroku 2010 se počet včelařů na území Olomouckého kraje, kteří jsou členy Českého svazu včelařů snížil z 3 069 na 2 722. Ve stejném období se snížil počet včelstev z 33 789 na 31 499. Cílem navrhované podpory včelařů na území Olomouckého kraje je podpořit zájem začínajících včelařů, ale i evidovaných stávajících včelařů na území Olomouckého kraje, zvýšení počtu včelstev v našem regionu a zkvalitnění chovu společně se zlepšením opylovací služby včelstev na kulturních či planě rostoucích rostlinách. Obdobně poskytují dotace i ostatjí kraje v ČR.                               
Navržená výše podpory vychází ze skutečnosti v roce 2011.  
</t>
  </si>
  <si>
    <t xml:space="preserve">Úhrada nákladů na zajištění technického zabezpečení konání veřejného projednání dokumentace a posudku. Podle ust. § 18 odst. 2 zákona č. 100/2001 Sb., o posuzování vlivu na životní prostředí, náklady spojené s veřejným projednáním podle § 9 odst. 9 tohoto zákona a náklady spojené se zveřejňováním podle tohoto zákona nese příslušný krajský úřad.  
</t>
  </si>
  <si>
    <t xml:space="preserve">Náhrada za přičlenění honebních pozemků na základě dohod uzavřených mezi Olomouckým krajem a vlastníky pozemků, Městem  Hranice a Lesy ČR, s.p., o přičlenění honebních pozemků k vlastní honitbě Olomouckého kraje Valšovice.  
</t>
  </si>
  <si>
    <t xml:space="preserve">Rada Olomouckého kraje usnesením UR/63/64/2011 ze dne 12. 04. 2011 souhlasila se záměrem na zapojení Olomouckého kraje do preventivních opatření proti kalamitnímu přemnožení komárů. Zapojení Olomouckého kraje má spočívat v uhrazení části nákladů na zakoupení potřebných biocidů jednotlivým obcím. Při projednání nebyla stanovena výše spoluúčasti kraje.  
</t>
  </si>
  <si>
    <t xml:space="preserve">Jedná se o úhrady případných refundací mezd pro členy konkurzních komisí jmenovaných pro konkurzní řízení na funkce ředitelů škol,školských zařízení, a to v souladu s vyhláškou č. 54/2005 Sb., o náležitostech konkurzního řízení a konkurzních komisí, § 2 odst. 2. Zejména se jedná o odborníky v oblasti státní správy, organizace a řízení ve školství podle druhu a typu příslušné školy nebo školského zařízení, zástupce škol, školských zařízení a zástupce školských rad. Každý člen konkurzní komise se účastní jednou na zasedání konkurzní komise jmenované pro konkurzní řízení na obsazení funkce ředitele školy, školského zařízení a jednou na přímém konkurzu(řízeném rozhovoru s uchazeči konkurzu).  
</t>
  </si>
  <si>
    <t xml:space="preserve">Jedná se o doprovodné náklady v souvislosti s ostatními platy - refundace mezd členů konkurzních komisí na funkce ředitelů škol, školských zařízení.  
</t>
  </si>
  <si>
    <t xml:space="preserve">Nákup materiálu pro potřeby odboru, které souvisí např. s gratulací k životnímu jubileu, kondolencí a s osobní korespondencí k jiným významným dnům. Dále na nákup zápisových lístků pro uchazeče, kteří se hlásí na střední školu a nepřichází ze základních škol. Toto bylo krajským úřadům uloženo v souvislosti s novelizací zákona 561/2004 Sb., o předškolním, základním, středním, vyšším odborném a jiném vzdělávání. Dále pro akce Zastupitelstva mládeže Olomouckého kraje.  
</t>
  </si>
  <si>
    <t xml:space="preserve">Olomoucký kraj je členem společenství Platform Network, jehož cílem je podpora kooperace mezi regiony a mladými lidmi v Evropě. Konkrétními výstupy jsou nabídky mezinárodních mládežnických kempů, mobility studentů a učitelů, pořádání seminářů a další mezinárodní spolupráce. Za účelem zlepšení komunikace a lepší prezentace nabízených aktivit členové společenství zřídili webovou stránku. Na její provoz bude přispívat každý z členských regionů společenství.  
</t>
  </si>
  <si>
    <t xml:space="preserve">Mezinárodní výměny dětí a mládeže, skupin dětí a mládeže ze škol a školských zařízení zřizovaných Olomouckým krajem. Zahrnuje finanční příspěvek na úhradu nákladů spojených s výjezdem jednotlivce, skupiny dětí a mládeže ze škol a školských zařízení zřizovaných Olomouckým krajem do zahraničí. Dále zahrnuje úhradu nákladů spojených s organizací mezinárodních výměn pro jednotlivce, skupiny dětí a mládeže ze zahraničí ve školách a školských zařízeních zřizovaných Olomouckým krajem.  
</t>
  </si>
  <si>
    <t xml:space="preserve">Poskytnutí příspěvku mezi Olomouckým krajem a Nadačním fondem Českého klubu olympioniků regionu Severní Morava ve výši 150tis.Kč. Účelem poskytnutí příspěvku je finanční podpora členů Nadačního fondu Českého klubu olympioniků regionu Severní Morava trvale žijících v Olomouckém kraji.  
</t>
  </si>
  <si>
    <t xml:space="preserve">Krajská konference environmentálního vzdělávání, výchovy a osvěty Olomouckého kraje. Finanční prostředky na zajištění prostor v rámci realizace Krajské konference environmentálního vzdělávání, výchovy a osvěty Olomouckého kraje 2012.  
</t>
  </si>
  <si>
    <t xml:space="preserve">Finančními prostředky budou realizovány činnosti vyplývající z Akčního plánu EVVO - uspořádání VIII. ročníku Krajské konference environmentálního vzdělávání, výchovy a osvěty podpora realizace tradičních a významných akcí regionálního charakteru zaměřených na EVVO (př. Ekologické dny Olomouc aj.) vydání publikace Ekologická výchova Olomouckého kraje realizace akcí lesní pedagogiky v Olomouckém kraji v roce 2012 podpora projektu EKOŠKOLA zajištění realizace seminářů a školení pro pedagogické pracovníky podpora realizace vzdělávacích akcí zaměřených zejména na děti a mládež ve spolupráci s externími subjekty podpora ekologického poradenství finanční podpora soutěží s ekologickou tematikou zajištění služeb v oblasti EVVO, které významně přispívají k naplnění koncepce EVVO.  
</t>
  </si>
  <si>
    <t xml:space="preserve">Úhrada ztráty z poskytnutého zlevněného žákovského jízdného dopravcům, kteří mají uzavřenou smlouvu o závazku veřejné služby na  úhradu této ztráty. Úhrada vyplývá z metodického pokynu MD pra zavedení žákovského jízdného a Nařízení vlády č. 493/2004Sb., kterým se upravuje prokazatelná ztráta ve veřejné linkové dopravě. Částka vychází ze schválených ztrát roku 2011 a vychází z odhadů dopravců na rok 2012. 
</t>
  </si>
  <si>
    <t xml:space="preserve">Úhrada nákladů řízení při soudních sporech vedených proti Krajskému úřadu Olomouckého kraje, ve věci přestupků proti plynulosti  provozu na pozemních komunikacích. Úhrada nákladů je prováděna na základě vydaného rozsudku soudem.  
</t>
  </si>
  <si>
    <t xml:space="preserve">V rámci provádění prevence v oblasti bezpečnosti a plynulosti silničního provozu (BESIP - činnost vyplývá ze zákona č. 361/2000 Sb., o provozu na pozemních komunikacích) na pozemních komunikacích. Olomoucký kraj prostřednictvím krajské koordinační komise BESIP zajišťuje organizaci výchovných akcí pro děti a dospělé, přípravu instruktorů dopravní výchovy, přispívá na údržbu a opravy dětských dopravních hřišť. Pro zajištění těchto činností bude poskytnut neinvestiční příspěvek státní příspěvkové organizaci Centrum služeb pro silniční dopravu, Praha ve výši 750 tis. Kč s vyúčtováním do konce roku 2012.  
</t>
  </si>
  <si>
    <t xml:space="preserve">Jedná se o dotaci Moravskému divadlu Olomouc, které je příspěvkovou organizací Statutárního města Olomouc (ÚZ 200) na zajištění regionální funkce divadla.  
</t>
  </si>
  <si>
    <t xml:space="preserve">Jedná se o dotaci Moravské filharmonii Olomouc, která je příspěvkovou organizací Statutárního města Olomouc (ÚZ 200) na zajištění regionální funkce filharmonie.  
Součástí schválené "Koncepce rozvoje kultury a památkové péče Olomouckého kraje" jetaké podpora významných subjektů, které působí v Olomouckém kraji a nejsou zřizovány Olomouckým krajem, avšak mají regionální působnost. Přiznání dotace na podporu  regionální činnosti z prostředků kraje je jednou z podmínek pro to, aby se divadla a filharmonie mohly ucházet i o dotaci z Programu podpory divadel a profesionálních hudebních souborů vypisovaného Ministerstvem kultury ČR.  
</t>
  </si>
  <si>
    <t xml:space="preserve">Podle zákona č. 257/2001 Sb. (knihovní zákon) plní a koordinuje krajská knihovna regionální funkce vybraných knihoven v kraji. V Olomouckém kraji zajišťuje plnění regionálních funkcí Vědecká knihovna v Olomouci, a to prostřednictvím sedmi pověřených knihoven (Hranice, Jeseník, Lipník nad Bečvou, Olomouc, Prostějov, Přerov a Šumperk). Tyto knihovny smluvně zajišťují standartizované výkony pro cca 500 základních knihoven v kraji.  
</t>
  </si>
  <si>
    <t xml:space="preserve">Dle článku V. uzavřené "Základní smlouvy" o předání Muzea umění Olomouc Ministerstvu kultury ČR se předávající Olomoucký kraj zavázal v rámci podpory kultury poskytovat Muzeu umění Olomouc počínaje rokem 2007 až do případné změny v rozpočtovém určení daní neinvestiční příspěvek na činnost muzea.  
</t>
  </si>
  <si>
    <t xml:space="preserve">Usnesením ROK č. UR/71/51/2011 ze dne 13.9.2011 byl schválen materiál Záměr projektu Olomouckého kraje na česko - polskou spolupráci z programu Ministerstva zahraničních věcí podle kterého byla odsouhlasena finanční spoluúčast 30 % podílu odborem kultury a památkové péče ve výši 80 100,- Kč za zajištění financování projektu dle navrhovaného rozpočtu. Předpokladem financování je schválení předloženého projektu Ministerstvem zahraničních věcí. 
</t>
  </si>
  <si>
    <t xml:space="preserve">Z této položky budou financovány náklady spojené s pořízením věcných darů u příležitosti předání Cen Olomouckého kraje za oblast kultury za rok 2011.  
</t>
  </si>
  <si>
    <t xml:space="preserve">1. FN Olomouc, dětská 1000 tis.Kč, dospělá 1000 tis.Kč, zubní 1000 tis. Kč - celkem 3 000 tis. Kč 
2. Středomoravská nemocniční a.s., dětská a dospělá LSPP - 6 264 tis. Kč  
3. LSPP při Nemocnici Hranice a.s., dětská LSPP - 333 tis. Kč 
</t>
  </si>
  <si>
    <t xml:space="preserve">Dle informace od ředitele NOK, a.s., bude předložen návrh na navýšení základního kapitálu pro Nemocnici Olomouckého kraje a.s. ve výši 6 000 tis. Kč dne 25.10.2011 Radě Olomouckého kraje.  
</t>
  </si>
  <si>
    <t xml:space="preserve">Jedná se zejména o poskytnuté náhrady za náklad soudního řízení. K rozsudkům soudů vzniklých v řízení (soudní přezkumy dle Soudního řádu správního). Stanovené dle ustanovení § 60 odst. 1 zákona č. 150/2002 Sb., soudního řádu správního. 
</t>
  </si>
  <si>
    <t xml:space="preserve">Zajištění konzultační, poradenské a právní služby pro potřeby Útvaru interního auditu. Lze rovněž využít pro potřeby analýz, případně studií zpracovaných externími experty. Nejde o duplicitní činnosti s již existujícíc právní a daňovou činností pro Olomoucký kraj.  
</t>
  </si>
  <si>
    <t xml:space="preserve">Jedná se o zajištění prostředků na údržbu majetku pořízeného z dotace FM EHP/Norsko v rámci projektu "Brána poznání otevřena" (rekonstrukce depozitářů Vlastivědného muzea v Olomouci). Dle podmínek FM EHP/Norska je příjemce dotace povinnen zajistit údržbu majetku spolufinancovaného z dotace. Na údržbu majetku je povinnen vyčlenit finanční prostředky ve výši 0,5 % ze skutečných celkových výdajů projektu po dobu udržitelnosti projektu (10 let). Částka na údržbu majetku činí 23 217,35 Euro ročně - přibližně 650 tis. Kč.  
</t>
  </si>
  <si>
    <t xml:space="preserve">Náklady spojené s přípravou podkladů pro výkup pozemků - geometrické plány, posudky, apod. a finanční rezerva na smlouvy o dílo  uzavírané s hodnotiteli v rámci věcného hodnocení projektových žádostí předkládaných v globálních grantech Olomouckého kraje. 
</t>
  </si>
  <si>
    <t>Neinv. transfery příspěvkovým organ.</t>
  </si>
  <si>
    <t xml:space="preserve">Výdaje položky tvoří především odměny členům Výborů Zastupitelstva Olomouckého kraje a Komisí Rady Olomouckého kraje. Celkem 280 osob v komisích a výborech, z toho: 43 zastupitelů a 237 občanů. V roce 2012 pokračuje činnost Poradního sboru pro náhradní rodinnou péči, zvláštního orgánu kraje, který svou činnost zahájil dne 1. 6. 2006. Odměňování členů Poradního sboru pro náhradní rodinnou péči je vhodné finančně zajistit z rozpočtu kanceláře hejtmana, odkud jsou finančně zajištěny také komise, výbory a zvláštní orgány kraje. Odměny, které vyplácí Olomoucký kraj členům komisí, výborů a  zvláštních orgánů, jsou výdajem v samostatné působnosti.Pro rok 2012 navrhujeme přiřadit k položce 5021 i částku 128.730 Kč (11/7 členů a předseda Poradního sboru pro náhradní rodinnou péči - z toho jsou 4 zaměstnanci Olomouckého kraje /včetně předsedy/ a 7 odborníků z jiných institucí) pro zajištění odměn členům poradního sboru.  
</t>
  </si>
  <si>
    <t xml:space="preserve">Jedná se o refundace mzdy neuvolněných členů ZOK (při účasti členů na zasedáních ROK/ZOK,...). Výše položky byla stanovena s přihlédnutím ke skutečnosti let 2002-2011.  
</t>
  </si>
  <si>
    <t xml:space="preserve">Náklady na vyplacení odměn členům Zastupitelstva Olomouckého kraje , a to uvolněným i neuvolněným, (členové ZOK - předsedové výborů, komisí, členové výborů a komisí, členové ROK). 
V souvislosti s ukončením volebního období 2008-2012 lze předpokládat v roce 2012 i úhradu odstupného pro uvolněné členy Rady Olomouckého kraje dle platné právní legislativy. V současné době však nelze tuto částku stanovit, proto v průběhu roku 2012 budeme na aktuální situaci reagovat žádostí o rozpočtovou změnuna odbor ekonomický.  
</t>
  </si>
  <si>
    <t xml:space="preserve">Výše výdajů této položky je stanovena výpočtem z položky 5023 a 5021 (9%). Pojistné je odváděno z odměn uvolněných i neuvolněných členů zastupitelstva.  
</t>
  </si>
  <si>
    <t xml:space="preserve">Jedná se o refundace pojistného (při účasti členů na zasedáních ROK/ZOK,...). Výše položky byla stanovena s přihlédnutím ke skutečnosti let 2002-2011.  
</t>
  </si>
  <si>
    <t xml:space="preserve">Na této výdajové položce jsou rozpočtovány prostředky pro možnost pořízení DHM do kanceláří uvolněných členů zastupitelstva, politických klubů, doplnění výbavy služebních vozidel zastupitelů, apod.  
</t>
  </si>
  <si>
    <t xml:space="preserve">Na této položce jsou plánovány výdaje za nákup knih a mapových podkladů pro členy zastupitelstva včetně nákupu knih souvisejících se zahraničními aktivitami Olomouckého kraje. Vzhledem k nízkému čerpání v letech 2002 až 2011 navrhujeme uvedenou částku.  
</t>
  </si>
  <si>
    <t xml:space="preserve">Prostředky rozpočtované na této položce jsou určeny pro úhradu výdajů za kancelářské potřeby členů zastupitelstva (včetně uvolněných členů, vybavení klubů) - pera, zvýrazňovače, samolepící etikety, spotřební materiál do vazačů, potřeby pro vybaveníkuchyněk členů vedení (přípravky, ubrousky,...), PF, malé kalendáříky, tisk prvků grafického manuálu (hlavičkové papíry, obálky, vizitky..). Do této položky patří i nákup materiálu pro zahraniční prezentace. Tato položka zahrnuje i náklady na dárkové předměty v pořizovací ceně do 3 000,- Kč (v jednotlivých případech), které jsou určeny k propagačním účelům Olomouckého kraje (na základě požadavků hejtmana).  
</t>
  </si>
  <si>
    <t xml:space="preserve">Na základě výpočtu poměru podlahové plochy kanceláří zastupitelů a poslaneckých klubů z celkové plochy kanceláří KÚOK (15,69%) byla stanovena výše nákladů za vodné a stočné pro rok 2012 (2003/0645/KŘ/DSM).  
</t>
  </si>
  <si>
    <t xml:space="preserve">Na základě výpočtu poměru podlahové plochy kanceláří zastupitelů a poslaneckých klubů z celkové plochy kanceláří KÚOK (15,69%) byla stanovena výše nákladů za úhradu dálkově dodávané tepelné energie pro rok 2012 (2010/03881/KŘ/DSM).  
</t>
  </si>
  <si>
    <t xml:space="preserve">Na základě výpočtu poměru podlahové plochy kanceláří zastupitelů a poslaneckých klubů z celkové plochy kanceláří KÚOK (15,69%) byla stanovena výše nákladů za elektrickou energii i pro rok 2012. Při stanovení výše položky vycházíme z uzavřených smluv (nyní smlouva 2010/05409/KŘ/DSM), o nichž nás informuje oddělení hospodářské správy kanceláře ředitele.  
</t>
  </si>
  <si>
    <t xml:space="preserve">Podle vývoje čerpání této výdajové položky v roce 2002-2010 a dle rozboru průměru měsíčně ujetých kilometrů a spotřeb jednotlivých vozidel užívaných členy zastupitelstva (Škoda Superb 4M1 2126, Škoda Octavia 3M9 3370, Škoda Octavia 3M9 3360, ŠkodaOctavia 4M0 3536 a Toyota 4MO 9767) za dosavadní období roku 2011 byla stanovena předpokládaná výše čerpání dané položky pro rok 2012.  
</t>
  </si>
  <si>
    <t xml:space="preserve">Výdaje této položky tvoří v převážné většině úhrady pronájmu prostor pro jednání, konference, při zasedáních či setkáních mimo sídlo kraje (výjezdní zasedání ROK, konference samospráv,..). Rovněž jsou na této položce plánovány výdaje za nájemné prostor pro akce související se zahraničními aktivitami OK (oficiální návštěvy,..).  
</t>
  </si>
  <si>
    <t xml:space="preserve">Na této položce jsou rozpočtovány prostředky pro možnost čerpání výdajů za služby tajemníků klubů. V roce 2011 bylo na této položce čerpáno za služby spojené s činností poslaneckých klubů (ODS, KDU-ČSL, ČSSD a KSČM). Částka požadovaná do rozpočtu počítá s pokračováním smluv. Dále jsou na položce nárokovány finanční prostředky na úhradu uzavřených mandátních smluv.  
</t>
  </si>
  <si>
    <t xml:space="preserve">Výdaje této rozpočtové položky tvoří úhrady nákladů za školení a semináře absolvované členy Zastupitelstva a Rady Olomouckého kraje. Návrh vychází ze skutečnosti čerpání položky v roce 2003-2011.  
</t>
  </si>
  <si>
    <t xml:space="preserve">Návrh rozpočtu této výdajové položky zpracovaný personálním oddělením KŘ vychází z předpokladu existence systému paušálních plateb i v roce 2012. Mimo úhradu „paušálů“ jsou na této položce čerpány výdaje za proplácení cestovních výdajů nárokovaných prostřednictvím klasických cestovních příkazů. Jen velmi obtížně lze přesně určit vývoj v oblasti cestovného u členů výborů a komisí, nicméně na základě čerpání v roce 2011navrhujeme částku na proplácení tuzemského cestovného ve výši 1 200 tis.Kč - ORG 11 000 000 000 a zahraničního cestovného ve výši 400 tis.Kč - ORG 11 000 000 099.  
</t>
  </si>
  <si>
    <t xml:space="preserve">Výdaje této položky jsou tvořeny především upgradem SW Ekus pro potřeby členů rady, zastupitelstva, politických klubů a zpracovatelů podkladových materiálů ROK a ZOK. 
</t>
  </si>
  <si>
    <t xml:space="preserve">Požadavek do rozpočtu u této položky vychází z rozpočtu roku 2002-2011 při praktické nemožnosti stanovení přesné výše této položky pro rok 2012. Na položce jsou nárokovány i prostředky pro možnou úhrady konferenčních poplatků zástupců Olomouckého kraje na zahraničních konferencích.  
</t>
  </si>
  <si>
    <t xml:space="preserve">Jedná se o nákup hodnotných dárkových předmětů (v pořizovací ceně nad 3 000,- Kč u jednotlivých případů) typických pro Českou republiku a Olomoucký kraj (sklo, grafické listy apod.), které budou použity jako dary pro oficiální zahraniční návštěvy Olomouckého kraje a jako dary pro významné představitele partnerských regionů.  
</t>
  </si>
  <si>
    <t xml:space="preserve">I přesto, že v období I.-VIII. 2011 nebylo na této položce čerpáno, navrhujeme rozpočet této výdajové položky ponechat na symbolické výši.  
</t>
  </si>
  <si>
    <t xml:space="preserve">Výdaje za FKSP členů zastupitelstva (vedení OK) byly nárokovány dle informací personálního oddělení KŘ (3,5% z objemu mzdových prostředků).  
</t>
  </si>
  <si>
    <t xml:space="preserve">Výdaje na aktualizaci PRCR a zpracování Marketingové studie, které bude prováděno v letech 2012 -2013 - předpoklad celkových nákladů díla cca 950 tis. Kč. V případě nutnosti provedení SEA hodnocení II. stupně bude nutno v roce 2013 nárokovat mimo zbývajících 475 tis. Kč nákladů na aktualizaci i cca 100 tis. Kč navíc. Navržené aktivity včetně finanční náročnosti vychází z Akčního plánu PRCR na období 2011-2013 (výhled do roku 2016) - č. UR/39/42/2010, č. UZ/20/42/2011. 
Jak vyplývá z navržené částky na této položce nejsou nárokovány finanční prostředky na rozvoj organizace řízení kvality cestovního ruchu v OK ve výši 500 tis. Kč. Navržená aktivita včetně finanční náročnosti vychází z Akčního plánu PRCR na období 2011-2013 (výhled do roku 2016) - č. UR/39/42/2010, č. UZ/20/42/2011. Celkové náklady projektu jsou ve výši cca 1 mil. Kč s termínem realizace v letech 2012 - 2013. Cílem je revize současné organizace cestovního ruchu v rámci Olomouckého kraje a návrh jejího fungování do budoucna. Obsahem projektu bude provedení analýzy organizace CR na úrovni Olomouckého kraje, inovace procesu kvality destinačního managementu, vytvoření funkční komunikační sítě  včetně vzdělávání pracovníků a subjektů CR a monitoringu návštěvníků pod odborným a metodickým vedením poradenské společnosti. Cílová skupina projektu: pracovníci destinačního managementu, poskytovatelé služeb a podnikatelé v CR, vybraná města a obce, NNO z různých oblastí cestovního ruchu. Vzhledem k obsahu uvedené aktivity doporučujeme jeho realizaci až v souvislosti s dokončením a schválením Zákona o cestovním ruchu. 
</t>
  </si>
  <si>
    <t xml:space="preserve">Příspěvek KČT - oblast Olomoucký kraj na podporu údržby a obnovy značení turistických, cykloturistických a lyžařských tras na území Olomouckého kraje. Navržená částka v Akčním plánu PRCR na období 2011-2013 (výhled do roku 2016) - č. UR/39/42/2010,č. UZ/20/42/2011 je ve výši 400 tis. Kč. Požadavek na zvýšení příspěvku ve výši 600 tis. Kč je z důvodu zajišťování aktualizace pasportu cyklotras Olomouckého kraje, který bude dokončen v roce 2011. 
</t>
  </si>
  <si>
    <t xml:space="preserve">Podpora činnosti turistických informačních center v Olomouckém kraji ve vybraných aktivitách jako je např. podpora standardizace, zkvalitňování a rozšiřování informačních služeb v oblasti cestovního ruchu v kraji a zahájení zajištění systematické součinnosti a spolupráce TIC na marketingových aktivitách kraje. Navržená částka vychází z Akčního plánu PRCR na období 2011-2013 (výhled do  roku 2016) - č. UR/39/42/2010, č. UZ/20/42/2011. V roce 2011 bylo podpořeno 21 informačních center v celkové částce 853 700,- Kč.  
</t>
  </si>
  <si>
    <t xml:space="preserve">Na základě rozhodnutí ZOK č. UZ/19/8/2011 ze dne 22. 4. 2011 zařazujeme do rozpočtu na rok 2012 půjčku pro sdružení Střední Morava - Sdružení cestovního ruchu na zajištění kofinancování marketingového projektu "Střední Morava - turistická destinace,poznání a pohoda". 
</t>
  </si>
  <si>
    <t xml:space="preserve">Na této položce jsou rozpočtovány prostředky související s činností oddělení vnějších vztahů. Jedná se o prostředky na podporu spolupráce se zahraničními regiony včetně zajišťování prezentací Olomouckého kraje v zahraničí v rámci uzavřených smluv o spolupráci  atd. Dále jsou na položce rozpočtovány prostředky na Letní školu AER a členský příspěvek AER (S-2004/0273/KH), dotační titul Olomouckého kraje na podporu zahraničních aktivit (450 tis. Kč), prostředky na cenu GOAL (150 tis. Kč - UR č.UR/71/53/2011, a na spolufinancování projektu "Otevřené sousedství - 70 tis. Kč - UR č. UR/71/51/2011).   
</t>
  </si>
  <si>
    <t xml:space="preserve">Na této položce jsou alokovány prostředky na:  
 - redakční zpracování a tisk měsíčníku Olomoucký kraj, který realizuje firma M. Kyjevský - FGP studio na základě smlouvy č. 2010/00371/KH/DSM (platba: 346.086,40 Kč/1 měsíc) 
 - distribuci měsíčníkuOlomoucký kraj, kterou od 07/2011 realizuje firma M. Kyjevský - FGP studio (do 06/2011 to byla Česká distribuční, a.s.) na základě smlouvy č. 2011/02788/KH/DSM (platba: 98.303,20 Kč/1 měsíc) 
 - případné mimořádné přílohy měsíčníku Olomoucký kraj připravené na základě rozhodnutí redakční rady OK  
</t>
  </si>
  <si>
    <t xml:space="preserve">Finanční prostředky na nákup odborných publikací pro potřeby krizového řízení, podklady pro metodické řízení obcí v oblasti krizového řízení, mapové podklady Olomouckého kraje atd. 
</t>
  </si>
  <si>
    <t xml:space="preserve">Položka je vyhrazena na platby nájemného za prostory určené k výcviku jednotek sborů dobrovolných hasičů Olomouckého kraje, HZS Olomouckého kraje a ostatních složek IZS v souladu s § 10 odst. 5 písm. b). Orgány kraje organizují instruktáže a školení v oblasti ochrany obyvatelstva a §11 zákona č. 239/2000 Sb., o integrovaném záchranném systému - hejtman organizuje integrovaný záchranný systém na úrovni kraje.  
</t>
  </si>
  <si>
    <t xml:space="preserve">Nákup služeb souvisejících s metodickým vedením tajemníků bezpečnostních rad určených obcí (obcí s rozšířenou působností) a proškolení složek jednotek požární ochrany a složek integrovaného záchranného systému dle § 10 odst. 5 písm. b) Orgány kraje organizují instruktáže a školení v oblasti ochrany obyvatelstva a §11 zákona č. 239/2000 Sb., o integrovaném záchranném systému -  hejtman organizuje integrovaný záchranný systém na úrovni kraje.  
</t>
  </si>
  <si>
    <t xml:space="preserve">Položka pohoštění je na oddělení krizového řízení vedena v rámci metodické přípravy tajemníků bezpečnostních rad určených obcí (obcí s rozšířenou působností) a proškolení složek jednotek požární ochrany a složek integrovaného záchranného systému dle § 10 odst. 5 písm.  
b). Orgány kraje organizují instruktáže a školení v oblasti ochrany obyvatelstva a §11 zákona č. 239/2000 Sb., o integrovaném  záchranném systému - hejtman organizuje integrovaný záchranný systém na úrovni kraje. 
</t>
  </si>
  <si>
    <t xml:space="preserve">Rezerva Olomouckého kraje pro případ řešení krizové situace nebo mimořádné události. Jedná se o vyčleněné mimořádné finanční prostředky Olomouckého kraje, které jsou určeny především přímému řešení krizových situací a mimořádných událostí. V průběhu roku a v případě, že na území kraje nedojde k přímému řešení a odstraňování následků mimořádné události nebo krizové situace, je rezerva  postupně rozdělována ve prospěch základních složek IZS (HZS Olomouckého kraje, Policie ČR, Zdravotnická záchranná služba OK).  
</t>
  </si>
  <si>
    <t xml:space="preserve">V roce 2011 byla poprvé v rozpočtu oddělení krizového řízení navržena a schválena částka ve výši 200 tis. Kč pro Český červený kříž o.s. z důvodu organizace akcí: noví dárci krve v Olomouckém kraji, oceňování dárců krve Zlatou Janského medailí, oceňování dárců krve Zlatým křížem. V této tradici bychom chtěli pokračovat také v roce 2012.  
</t>
  </si>
  <si>
    <t xml:space="preserve">Finance alokované na této položce budou sloužit k úhradě nákladů za občerstvení na tiskové konference a další akce pořádané pro novináře, případně s účastí novinářů (např. pracovní snídaně hejtmana s novináři atp.).  
</t>
  </si>
  <si>
    <t xml:space="preserve">Prostředky rozpočtované na této položce jsou vyčleněny pro činnost tiskového oddělení kanceláře hejtmana, a to zejména na nákup propagačních předmětů s využitím loga kraje, dále na realizaci ediční řady informačních a propagačních materiálů Olomouckého kraje s logem (doplnění ediční řady o další prvky, reedice již existujících prvků včetně aktualizace...). 
V předchozích letech byly tyto finanční prostředky rozpočtovány na dvou rozpočtových skladbách (s UZ 506 - 1.000 tis. Kč a s 507 - 1.500 tis. Kč), protože agendu tištěných materiálů zastřešovalo oddělení vnějších vztahů KH a propagační předměty tiskové oddělení KH. Vzhledem k reorganizaci v roce 2011 je však veškerá tato agenda plně v gesci tiskového oddělení a není důvod tyto finanční  prostředky vést odděleně.  
</t>
  </si>
  <si>
    <t xml:space="preserve">Jedná se o položku, na které jsou finanční prostředky určené k zajištění cvičení a pravidelných porad základních složek IZS dle zákona č. 239/2000 Sb., o integrovaném záchranném systému, nebo odborné přípravy jednotek sborů dobrovolných hasičů.  
</t>
  </si>
  <si>
    <t xml:space="preserve">Nákup ochranných pracovních pomůcek podle pracovněprávních předpisů a Vnitřního předpisu Krajského úřadu Olomouckého kraje č.2/2008 platného od 1. 5. 2008 - oděvy, ochranné pracovní obuv pro zaměstnance odborů OŽPZ, ODSH, KŘ, OIEP, EO, OSR.   
</t>
  </si>
  <si>
    <t xml:space="preserve">Pro rok 2012 navrhujeme výši finančních prostředků na cestovné nižší vzhledem k delimitaci zaměstnanců OSV a ODSH (tuzemské  cesty ve výši 2 000 tis.Kč, ORG 12 000 000 000 a zahraniční cesty ve výši 1 000 tis.Kč, ORG 12 000 000 099).               
</t>
  </si>
  <si>
    <t xml:space="preserve">Tato položka je zřízena pro úhradu nájemného , a to zejména za pronájem pozemků do ČR - Pozemkového fondu ČR a třetích osob v souvislosti s majetkoprávním vypořádáním investičních akcí olomouckého kraje. 
</t>
  </si>
  <si>
    <t xml:space="preserve">Zahrnuje: 
1. Nájemné na 35 ks multifunkčních zařízení (multifunkční zařízení je tiskárna kombinovaná s kopírkou, případně skenerem a faxem). Podle nové smlouvy se společností IMPROMAT (smlouva č. 2011/02888/OIT/DSM) je pronájem zařízení levnější než v minulých letech, v této částce je nájem, opravy a tonery - celkem 1 650 tis.Kč 
2. Pronájem optických tras mezi sídlem OK, HZS a ZZS OK (smlouva č. 2005/088/OIT) - celkem 553 tis.Kč  
</t>
  </si>
  <si>
    <t xml:space="preserve">Poskytování energetických služeb se zaručeným výsledkem - projekty financované metodou EPC - investice -1 371 tis.Kč Schváleno usnesením ROK č. UR/70/46/2007 ze dne 4. 10. 2007. Dne 21. 10. 2007 byly uzavřeny 3 smlouvy o poskytování energetických služeb, včetně dodávky souboru opatření a stavebních prací k realizaci energ.úspor, které přechází do roku 2012. Finanční závazky vyplývající ze splácení dodávky souboru opatření a stavebních prací pro rok 2012 jsou realizovány formou měsíčních splátek.                                                                
ZŠ + DD Zábřeh, S-2007/2476/OSR - 500 tis.Kč     
SOŠ a DM Olomouc, S-2007/2477/OSR  - 871 tis.Kč     
</t>
  </si>
  <si>
    <t xml:space="preserve">Poskytování energetických služeb se zaručeným výsledkem - projekty financované metodou EPC - investice  - 256 tis.Kč Schváleno usnesením ROK č. UR/70/46/2007 ze dne 4. 10. 2007. Dne 21. 10. 2007 byly uzavřeny 3 smlouvy o poskytování energetických služeb, včetně dodávky souboru opatření a stavebních prací k realizaci energ.úspor, které přechází do roku 2012. Finanční závazky vyplývající ze splácení dodávky souboru opatření a stavebních prací pro rok 2012 jsou realizovány formou měsíčních splátek.                                                                
ÚSP Nové Zámky - Mladeč, S-2007/2475/OSR - 256 tis.Kč        
</t>
  </si>
  <si>
    <t xml:space="preserve">Příspěvek Škole pro obnovu venkova,o.p.s. (ŠPOV OK) na vydání publikace o úspěšných obcích Olomouckého kraje v v roce 2012 v soutěži Vesnice roku - 50 tis.Kč. Příspěvek na pokrytí nákladů pro sestavení a výrobu publikace 1 500 ks (částka 50 tis. Kč bude převedena na základě smlouvy ŠPOV OK).                                                                
</t>
  </si>
  <si>
    <t xml:space="preserve">Poradenství, analýzy a studie zpracovávané externími experty a organizacemi pro potřebu zabezpečení výkonu státní správy v oblasti:    
a) posuzování vlivu na životní prostředí - úhrada nákladů na zpracování posudků na dokumentaci o posouzení vlivu na životní prostředí (ust. § 18 odst. 2 zákona č. 100/2001 Sb., o posuzování vlivu na životní prostředí). Vynaložené finanční prostředky na zpracování posudku jsou následně vyúčtovány krajem oznamovateli záměru, 
b) integrované prevence - úhrada nákladů za zpracování stanovisek odborně způsobilou osobou k předloženým žádostem o integrované povolení (ust. §. 11 zákona č. 76/2002 Sb., o integrované prevenci a omezování znečišťování), 
c) prevence závažných havárií - úhrada nákladů na zpracování posouzení možnosti domino efektů, to je zvýšení pravděpodobnosti vzniku nebo velikosti dopadů závažné havárie v důsledku vzájemné blízkosti objektů nebo zařízení nebo skupiny objektů nebo zařízení a umístění nebezpečných látek, (ust. § 32 zákona č. 59/2006 Sb., o prevenci závažných havárií).  
</t>
  </si>
  <si>
    <t xml:space="preserve">Úhrada nákladů na zajištění péče o zvláště chráněná území - přírodního parku, přírodní rezervace, přírodní památky - celkem 83 území. Kraje zajišťují péči o tato zvláště chráněná území v přenesené působnosti kraje (ust. § 77a odst. 2 zákona č. 114/1992 Sb.).  
</t>
  </si>
  <si>
    <t xml:space="preserve">Úhrada nákladů na zpracování plánů péče o zvláště chráněná území - přírodního parku, přírodní rezervace, přírodní památky. Jedná se o samostatnou působnost kraje. (ust. § 77a odst. 4 písm. e) zákona č. 114/1992 Sb.)  
</t>
  </si>
  <si>
    <t xml:space="preserve">1. Úhrada nákladů na zajištění záchranných programů k ochraně ohrožených zvláště chráněných druhů rostlin a živočichů (ust. § 77a odst. 5 písm. e) zákona č. 114/1992 Sb., o ochraně přírody a krajiny). 
2. Úhrada nákladů na umístění odebraných nedovoleně držených jedinců druhů chráněných podle zvláštního předpisu (ust. § 77a odst. 5 písm. k) zákona č. 114/1992 Sb.). 
3. Úhrada nákladů za odchyt, odvoz handicapovaných (poraněných) volně žijících živočichů a zajištění kompletní péče o ně v záchranných stanicích. Konkrétně se jedná o zajištění převzetí handicapovaných živočichů v záchranné stanici ZO ČSOPHaná v Němčicích na Hané, ZO ČSOP Sovinecko ve Stránském, ČSOP ZO Leština a Ornitologické stanice Muzea Komenského "ORNIS" za účelem veterinárního ošetření a jejich rekonvalescence k opětovnému navrácení do přírody.  
</t>
  </si>
  <si>
    <t xml:space="preserve">1. Poradenství, analýzy a studie zpracovávané externími experty a organizacemi pro potřebu zabezpečení výkonu státní správy a  samosprávy v oblasti odpadového hospodářství.                                                                        
2. Rada Olomouckého kraje usnesením UR/69/59/2011 ze dne 26. 07. 2011 schválila navržený postup k naplnění Plánu odpadového  hospodářství Olomouckého kraje. Jedním z dílčích kroků schváleného postupu je zpracování studie proveditelnosti vybudování zařízení na energetické využívání odpadů na území Olomouckého kraje. Ke zpracování studie se Olomoucký kraj zavázal rovněž v textu Memoranda o spolupráci a společném postupu při tvorbě Integrovaného systému nakládání s odpady v Olomouckém kraji, který byl schválen usnesením Rady Olomouckého kraje č. UR/70/56/2011 ze dne 30. 08. 2011 a následně předložen obcím s rozšířenou působností. Zahájení zpracování v studie druhé polovině roku 2011 a dokončení v prvním pololetí 2012.  
</t>
  </si>
  <si>
    <t xml:space="preserve">Podle ust. § 48 zákona č. 86/2002 Sb., o ochraně ovzduší, krajský úřad má povinnost zpřístupňovat informace o stavu ovzduší na území kraje a konrolovat dodržování imisních limitů. Za tímto účelem je nutno získat data i z měřících stanic imisního monitoringu kvality ovzduší na území Olomouckého kraje, které nejsou ve státní síti ČHMÚ. Jedná se o stanici Statutárního města Olomouc na území města.  
</t>
  </si>
  <si>
    <t xml:space="preserve">1. Poradenství, analýzy a studie zpracovávané externími experty a organizacemi pro potřebu zabezpečení výkonu státní správy a samosprávy v oblasti ochrany ovzduší.                                                                               
2. Podle ust. § 7 zákona č. 86/2002 Sb., o ochraně ovzduší, musí krajské úřady zpracovat aktualizaci programů ke zlepšení kvality ovzduší za rok 2012, pokud došlo na jejich území k překročení některého z imisních limitů. Vzhledem k naplnění uvedené podmínky má povinnost zpracovat aktualizaci programu rovněž Krajský úřad Olomouckého kraje. Aktualizace pak bude vydána opatřením obecně závazné povahy, a to formou nařízení Rady Olomouckého kraje.  
</t>
  </si>
  <si>
    <t xml:space="preserve">Poradenství, analýzy a studie zpracovávané externími experty a organizacemi pro potřebu zabezpečení výkonu státní správy a samosprávy v oblasti vodního hospodářství a rybářství.  
</t>
  </si>
  <si>
    <t xml:space="preserve">Spolufinancování zpracování aktualizace plánů dílčích povodí řeky Moravy, Odry a Dyje. Plány dílčích povodí pořizují správci povodí podle své působnosti ve spolupráci s příslušnými krajskými úřady a ve spolupráci s ústředními vodoprávními úřady. Plány dílčích povodí schvalují podle své územní působnosti kraje. Zastupitelstvo Olomouckého kraje usnesením č. UZ/11/32/2009 ze dne 11. 12. 2009 schválilo konečný návrh Plánu oblasti povodí Moravy, Odry a Dyje pro území Olomouckého kraje. Rada Olomouckého kraje následně usnesením UR/36/34/2010 ze dne 08. 04. 2010 vydala Nařízením č. 1/2010 závazné části plánu oblasti povodí Moravy, Odry a Dyje pro správní obvod kraje. Navržená výše podpory vychází z požadavků správců vodních toků Povodí Moravy, s.p. a Povodí Odry, s.p..  
</t>
  </si>
  <si>
    <t xml:space="preserve">Finanční prostředky poskytované v rámci bývalého dotačního titulu Program drobné vodohospodářské ekologické akce, který byl v gesci Ministerstva životního prostředí, jsou od roku 2004 převáděny z kapitoly Všeobecná pokladní správa - Prostředky nafinancování běžného investičního rozvoje územních samosprávných celků, viz. příloha č. 5 důvodové zprávy k návrhu zákona, kterým se mění zákon č. 243/2000 Sb., o rozpočtovém určení výnosu daní, do rozpočtu krajů. V případě Olomouckého kraje se jedná o finanční prostředky ve výši 23 460 000 Kč, které obdržel kraj do svého rozpočtu již v průběhu let 2004 -2011. I když využití převedených rozpočtových prostředků není účelově vázáno, je nutné jejich prioritní využití v oblasti vodního hospodářství, zejména k řešení mimořádných (havarijních) situací v oblasti infrastruktury vodovodů a kanalizací obcí na území kraje. Poskytování účelových dotací pro obce na území kraje na řešení mimořádných (havarijních) situací v oblasti vodovodů a kanalizací je řešeno v souladu s pravidly Poskytnutí příspěvku obcím na řešení mimořádných situaci schválenými ZOK UZ/19/16/2003 ze dne 16. 10.2003. Jedná se zejména o řešení situací, kdy došlo k narušení základních funkcí území v důsledku havárie v oblasti:                  
- zásobování obyvatelstva pitnou vodou,                                                                              
- odvádění a likvidace odpadních vod, 
- povodňová situace.                                                                                              
Dotace jsou poskytovány pouze na realizaci opatření bezprostředně souvisejících s odstraněním následků nebo prevenci mimořádné situace na majetku obce. 
</t>
  </si>
  <si>
    <t xml:space="preserve">V rámci spolupráce a koordinace správních činností odvolacích správních orgánů bude v roce 2012 svolána metodická porada pro pracovníky  krajských úřadů vykonávajících správní řízení ve věcech projednávání předstupků v dopravě a přestupků souvisejících.  
</t>
  </si>
  <si>
    <t xml:space="preserve">Úhrada nákladů za zpracování bezpečnostních auditů na posouzení nebezpečných a kolizních míst na silnicích v majetku Olomouckého kraje a v místech železničních přejezdů - naplňování úkolu Národní strategie bezpečnosti silničního provozu (NSBSP)  
</t>
  </si>
  <si>
    <t xml:space="preserve">Jedná se o možné náklady spojené s vypracováním znaleckých posudků, které bude případně nutné si vyžádat v rámci správních řízení a v rámci řízení odvolacích (převážně v oblasti památkové péče).  
</t>
  </si>
  <si>
    <t xml:space="preserve">Lékařská služba první pomoci </t>
  </si>
  <si>
    <t>Provoz záchytné stanice</t>
  </si>
  <si>
    <t>Financování protidrogové prevence</t>
  </si>
  <si>
    <t>Program Zdraví 21</t>
  </si>
  <si>
    <t>Vzdělávání lékařů</t>
  </si>
  <si>
    <t xml:space="preserve">Program Zdraví 21 </t>
  </si>
  <si>
    <t xml:space="preserve">Vzdělávání lékařů </t>
  </si>
  <si>
    <t xml:space="preserve">Příspěvky divadlům a filharmoniím </t>
  </si>
  <si>
    <t>Neinvestiční dotace pro knihovny - regionální funkce knihoven</t>
  </si>
  <si>
    <t>Podpora kultury a památkové péče</t>
  </si>
  <si>
    <t>3311,3312,3319</t>
  </si>
  <si>
    <t>3311,3312,3319,3322</t>
  </si>
  <si>
    <t>3311,3312,</t>
  </si>
  <si>
    <t>3312, 3319</t>
  </si>
  <si>
    <t>3311,3312,3315,3319,3322</t>
  </si>
  <si>
    <t>3312,3319,3322</t>
  </si>
  <si>
    <t>210,211, 212</t>
  </si>
  <si>
    <t>209,210, 211,212</t>
  </si>
  <si>
    <t>3315,3319,</t>
  </si>
  <si>
    <t xml:space="preserve">Podpora kultury a památkové péče - přímá podpora významných kulturních akcí </t>
  </si>
  <si>
    <t>3312,3319,</t>
  </si>
  <si>
    <t xml:space="preserve">Podpora kultury a památkové péče - přímá podpora význmaných kulturních akcí </t>
  </si>
  <si>
    <t xml:space="preserve">Z programu podpora kultury a památkové péče (ÚZ 209) budou financovány dotace příslušných podprogramů, tj. Obnova kulturních památek v OK (ÚZ 210), Obnova staveb drobnéarchitektury místního významu v OK (ÚZ 211) a Podpora kulturních aktivit v OK (ÚZ 212).   
</t>
  </si>
  <si>
    <t xml:space="preserve"> Přímá podpora významných kulturních akcí 
Jedná se o dotace na podporu významných kulturních akcí, které se uskuteční v roce 2012 (ÚZ 213). 
</t>
  </si>
  <si>
    <t>Příspěvek na bezpečnostní prvky na silnicích</t>
  </si>
  <si>
    <t>Podpora výstavby cyklostezek</t>
  </si>
  <si>
    <t xml:space="preserve">Dopravní obslužnost - autobusová </t>
  </si>
  <si>
    <t xml:space="preserve">Dopravní obslužnost - drážní </t>
  </si>
  <si>
    <t>Inv. transfery příspěvkovým organ.</t>
  </si>
  <si>
    <t>Dopravní obslužnost - drážní</t>
  </si>
  <si>
    <t>Podpora aktivit zaměřených na sociální začleňování - oblast prevence kriminality</t>
  </si>
  <si>
    <t xml:space="preserve">Projekt Rodinných pasů v Olomouckém krajinancování projektu Rodinných pasů je realizováno z rozpočtu Olomouckého kraje na základě zadání zakázky bez provedení průzkumu trhu s dodavatelem společností Sun Drive Communications, s.r.o. IČ: 26941007, se sídlem Brno, Haraštova 370/22, 620 00. Dne 21.4.2011 byla uzavřena mezi Olomouckým krajem a uvedenou firmou Smlouva o dílo na realizaci projektu "Rodinné pasy Olomouckého kraje na období 2011-2012". Finanční prostředky pro rok 2012 jsou plánovány zejména na tyto aktvity: propojení a zajištění vzájemné uznatelnosti rodinných pasů u krajů, kde je realizován projekt Rodinné pasy, správu a rozšiřování databáze zapojených rodin a poskytovatelů z Olomouckéhokraje (vč. kontaktování potenciálních zájemců ze strany měst a obcí, resp. jejich příspěvkových organizací, provozovatelů zařízení v oblasti kultury, sportu, volnočasových aktivit a cestovního ruchu) po dobu trvání  projektu, výrobu samolepek Rodinný pas s daným grafickým provedením, výrobu informačních letáků s oboustranným plnobarevným tiskem, výrobu drobných propagačních předmětů, výrobu reklamních letáků propagující Rodinný pas, tisk a distribuci Rodinných pasů zapojeným rodinám v Olomouckém kraji, aktualizaci sekce internetových stránek Rodinné pasy a další aktivity. 
</t>
  </si>
  <si>
    <t>Podpora aktivit zaměřených na sociální začleňování - oblast integrace příslušníků romských komunit</t>
  </si>
  <si>
    <t>Podpora aktivit zaměřených na sociální začleňování - oblast podpory prorodinných aktivit</t>
  </si>
  <si>
    <t>Podpora aktivit zaměřených na sociální začleňování - oblast podpory terénních a ambulantních služeb</t>
  </si>
  <si>
    <t>Akční plán realizace prevence kriminality na území Olomouckého kraje</t>
  </si>
  <si>
    <t>Strategie integrace příslušníků romských komunit Olomouckého kraje</t>
  </si>
  <si>
    <t>Střednědobý plán rozvoje sociálních služeb Olomouckého kraje</t>
  </si>
  <si>
    <t>Dobrovolnické možnosti podpory seniorů a sociálně vyloučených občanů v EU</t>
  </si>
  <si>
    <t xml:space="preserve">Jedná se o 2/3 finančních nákladů (1/3 hradí st. město Olomouc) na zabezpečení fungování Olomouc region Card (provozní náklady +  administrace).  
</t>
  </si>
  <si>
    <t>Příspěvky na hospodaření v lesích na území Olomouckého kraje</t>
  </si>
  <si>
    <t xml:space="preserve">Příspěvky obcím Olomouckého kraje na řešení mimořádných událostí </t>
  </si>
  <si>
    <t>Program obnovy venkova</t>
  </si>
  <si>
    <t xml:space="preserve">Regionální inovační strategie Olomouckého kraje </t>
  </si>
  <si>
    <t xml:space="preserve">Plán Olomouckého kraje na zmírnění dopadů hospodářské krize - příspěvek na zateplení, výměna otvorových výplní </t>
  </si>
  <si>
    <t xml:space="preserve">Program obnovy venkova   </t>
  </si>
  <si>
    <t xml:space="preserve">Talent Olomouckého kraje </t>
  </si>
  <si>
    <t>Příspěvky na mezinárodní výměnné pobyty</t>
  </si>
  <si>
    <t>Kofinancování evropských vzdělávacích programů</t>
  </si>
  <si>
    <t xml:space="preserve">Stipendijní řád Olomouckého kraje </t>
  </si>
  <si>
    <t xml:space="preserve">Environmentální vzdělávání, výchova a osvěta </t>
  </si>
  <si>
    <t>Dotace pro PO OK na informační technologie</t>
  </si>
  <si>
    <t>Stipendia pro žáky učebních oborů</t>
  </si>
  <si>
    <t xml:space="preserve">Financování základních složek IZS - rezerva hejtmana na krizové řízení </t>
  </si>
  <si>
    <t xml:space="preserve">Dotace na jednotlky sborů dobrovolných hasičů - z rozpočtu kraje </t>
  </si>
  <si>
    <t xml:space="preserve">1. Předplatné novin a odborných časopisů, jiných nosičů, ORG 12005000000 -   400 tis.Kč 
2. Nákup odborných publikací, odborných knih pro potřeby zaměstnanců, ORG 12006000000  - 100 tis. Kč  </t>
  </si>
  <si>
    <t xml:space="preserve">1. Z položky 5169 jsou hrazeny veškeré nákupy spotřebního materiálu - elektromateriál, razítka, polymery, sanitární prostředky aj. nárůst rozpočtu kopíruje návrh rozpočtu roku 2010, ORG 12000000000 ve výši 1 000 tis.Kč
2.  Nákup materiálu - tonery pro odbory, ORG 12001000000  - 750 tis. kč  
3. Nákup materiálu - kancelářské potřeby, ORG 12002000000  - 700 tis. Kč                    
4. Nákup materiálu - kancelářský papír, ORG 12003000000   -  480 tis. Kč                 
</t>
  </si>
  <si>
    <t xml:space="preserve">1. Středomoravská vodárenská, a.s. Olomouc - Smlouva o odvádění odpadních vod č. 103-16179/5, Smlouva o dodávce vody č. 103-16178/2, vč. Dodatku č. 1, ORG 0012007000000 - 250 tis. Kč 
2. Regionální centrum Olomouc, s. r .o., Olomouc - Smlouva o zajištění služeb č. R2/S/2008/001, ORG 0012008000000 - 190 tis. Kč  
3.ÚZSVM Šumperk, Smlouva o nájmu nebytových prostor č. UZSVM/OSU/5034/2010-OSUH, ORG 12010000000 - vodné.  37 tis.Kč  
</t>
  </si>
  <si>
    <t xml:space="preserve">1. United Energy Trading, a.s. Praha, Smlouva o sdružených službách dodávky zemního plynu - měsíční zálohy na dodávku plynu pro pracoviště OSV, Žilinská 7, Olomouc včetně vyúčtování ORG 0012009000000  - 100 tis. Kč  
2. ÚZSVM Šumperk, Smlouva o nájmu nebytových prostor č. UZSVN/OSU/5034/2010-OSUH, ORG 12010000000 - 192 tis.Kč  
</t>
  </si>
  <si>
    <t xml:space="preserve">1. Regionální centrum Olomouc, s. r. o., Olomouc - Smlouva o nájmu nebytových prostor č. R2/N/2008/001 vč. Dodatku č. 1 ke Smlouvě - nájem nebytových prostor. (ORG 0012008000000) - 16 000 tis. Kč  
2. První kapitálová společnost, a.s. Přerov - Smlouva o nájmu nebytových prostor AB/2004/430, ORG 12000000000 - 356 tis. Kč 
3. Výdaje na pronájem kanceláře Brusel na základě uzavřené smlouvy č. 2010/03757/OSR/DSM, ORG 12000000000 - 300 tis.Kč  
4. První kapitálová společnost, a.s. Přerov - Smlouva o nájmu nebytových prostor AB/2011/599, ORG 12000000000 - 125 tis. Kč 
5. V návrhu rozpočtu na rok 2012 je ponechána částka , která bude použita na případné zvýšení nájmů a zajištění školení, seminářů, metodické pomoci atd., ORG 12000000000 - 501 tis. Kč 
6. ÚZSVM Šumperk, Smlouva o nájmu nebytových prostor č. UZSVM/OSU/5034/2010-OSUH - nájemné, ORG 12010000000 - 218 tis.Kč  
</t>
  </si>
  <si>
    <t xml:space="preserve">Jedná se o výdaje na provádění kontrol v souladu se zákonem č. 167/1998 Sb., o návykových látkách ve vybraných lékárnách a zdravotnických zařízeních, výběrová řízení na uzavírání smluv mezi zdravotními pojišťovnami a zdravotnickými zařízeními, posuzování zdravotního stavu žadatelů o náhradní rodinnou péči, posuzování dětí k osvojení a pěstounské péči, vyhodnocení podaných projektů v rámci programů, kontrolní činnosti na vyúčtování projektů a dotací, posuzování správnosti poskytované zdravotní péče (znalecké komise).  
</t>
  </si>
  <si>
    <t>§ 3636, POL 5325 - Neinvestiční transfery regionálním radám</t>
  </si>
  <si>
    <t xml:space="preserve">Neinvestiční dotace pro Úřad regonální rady regionu soudržnosti Střední Morava na základě Smlouvy o zajištění financování regionálního operačního programu Střední Morava.  
</t>
  </si>
  <si>
    <t xml:space="preserve">Smlouva o úvěrovém rámci ve výši 700 mil. Kč s Komerční bankou, a.s. Úroky jsou vypočítány s předpokladem čerpání 4. tranše ve výši 200 mil. Kč v lednu 2012. 
</t>
  </si>
  <si>
    <t xml:space="preserve">Smlouva o úvěrovém rámci ve výši 3 000 mil. Kč s Evropskou investiční bankou na spolufinancování evropských programů a financování vlastních investičních akcí. Smlouva je ve fázi čerpání i splácení. Úroky jsou vypočítány s předpokladem čerpání další tranše ve výši 500 mil. Kč v lednu 2012. 
</t>
  </si>
  <si>
    <t xml:space="preserve">Výdaje na úhradu nákladů za daňové poradenství a konzulatační činnosti v oblasti účetnictví na základě uzavřených smluv.  
</t>
  </si>
  <si>
    <t>§ 6409, POL 5229 - Ostatní neinv.transfery nezisk.a podob.organizacím</t>
  </si>
  <si>
    <t xml:space="preserve">Významné projekty - UZ 001. Upravený rozpočet a čerpání probíhá na všech odborech - údaje uvedeny pro informaci  
</t>
  </si>
  <si>
    <t>§ 6409, POL 5901 - Nespecifikované rezervy</t>
  </si>
  <si>
    <t xml:space="preserve">Rezerva na neplnění daňových příjmů  
</t>
  </si>
  <si>
    <t xml:space="preserve">Výdaje na úhradu daní z nemovitostí a daní z převodu nemovitostí a daně z přidané hodnoty na základě daňového přiznání . DPH je odváděno za krátkodobé nájmy (do 48 hod.) včetně vybavení (např. pronájem kongresového sálu), pronájem nebytových prostor a motivých věcí - kantýna, nájem parkovacích míst, úplata za poskytnutí věcného břemene, nájem honebních pozemků, stravovací služby ZELOS, EKO-KOM (zajištění informační kampaně v oblasti vzdělávání a osvěty obyvatel s odpady), a další.  
</t>
  </si>
  <si>
    <t>Regionální inovační strategie</t>
  </si>
  <si>
    <t>Příspěvky vysokým školám</t>
  </si>
  <si>
    <t>Finanční příspěvky v oblasti sportu</t>
  </si>
  <si>
    <t xml:space="preserve">Dotace na financování protidrogové prevence obecně prospěšným společnostem ve výši 250 tis. Kč, pro občanská sdružení 
2 250 tis. Kč.  
</t>
  </si>
  <si>
    <r>
      <rPr>
        <b/>
        <sz val="11"/>
        <rFont val="Arial CE"/>
        <charset val="238"/>
      </rPr>
      <t xml:space="preserve">Spolufinancování projektu z oblasti prevence kriminality, </t>
    </r>
    <r>
      <rPr>
        <sz val="11"/>
        <rFont val="Arial CE"/>
        <charset val="238"/>
      </rPr>
      <t xml:space="preserve">
Jedná se o realizaci projektu, jehož cílem je soubor preventivních aktivit zaměřených na oblast prevence majetkové kriminality. Jedná se o povinnou 10% spoluúčast státní podpory na realizaci pilotního projektu Olomouckého kraje v oblasti prevence kriminality, který bude realizován ve spolupráci s Policií ČR a dalšími partnery projektu. Akce proběhne formou objednávky služby. Jedná se o aktivitu v samostatné působnosti. 
</t>
    </r>
  </si>
  <si>
    <r>
      <rPr>
        <b/>
        <sz val="11"/>
        <rFont val="Arial CE"/>
        <charset val="238"/>
      </rPr>
      <t>Realizace seminářů (školení), workshopů pro oblast prevence sociálního vyloučení a prevence kriminality</t>
    </r>
    <r>
      <rPr>
        <sz val="11"/>
        <rFont val="Arial CE"/>
        <charset val="238"/>
      </rPr>
      <t xml:space="preserve">
Uvedená částka vychází ze schváleného Střednědobého plánu rozvoje sociálních služeb na období 2011-2014. Klade si za cíl podpořit zvýšení odbornosti realizátorů preventivních aktivit a dalších zúčastněných subjektů prostřednictvím cíleně konstruovaných vzdělávacích záměrů. V oblasti sociálního vyloučení se jedná o zaměření na aktivity v oblasti sociálně patologických jevů – drogy, zadluženost, exekuce, práce s klientem. Tyto aktivity budou realizovány formou jednodenních nebo vícedenních pracovních setkání, workshopů, seminářů. Finanční prostředky budou použity na financování lektorů a pronájmů místností prostřednictvím fyzických nebo právnických osob, které zajistí realizaci celé vzdělávací akce. Jedná se o aktivity v samostatné působnosti.  
</t>
    </r>
  </si>
  <si>
    <r>
      <rPr>
        <b/>
        <sz val="11"/>
        <rFont val="Arial CE"/>
        <charset val="238"/>
      </rPr>
      <t xml:space="preserve">Nákup ostatních služeb, UZ 412 </t>
    </r>
    <r>
      <rPr>
        <sz val="11"/>
        <rFont val="Arial CE"/>
        <charset val="238"/>
      </rPr>
      <t xml:space="preserve">
Na základě ustanovení § 95 zákona č. 108/2006 Sb., o sociálních službách, je povinností kraje zajistit dostupnost informací o možnostech a způsobech poskytování sociálních služeb na svémúzemí a rovněž zpracovat střednědobý plán rozvoje sociálních služeb. Na realizaci uvedených povinností navrhuje OSV vyčlenit finanční prostředky: 1 545 tis. Kč na implementaci - na aktivity související s realizací opatření Střednědobého plánu rozvoje sociálních služeb v Olomouckém kraji na roky 2011-2014. Jedná se o realizaci opatření, které již vycházejí ze zpracovávaných cílů jednotlivých pracovních skupin podílejících se na sestavování Střednědobého plánu sociálních služeb (konference, mediální kampaně, analýzy atd.) Jedná se o aktivity v samostatné působnosti.  
</t>
    </r>
  </si>
  <si>
    <r>
      <rPr>
        <b/>
        <sz val="11"/>
        <rFont val="Arial CE"/>
        <charset val="238"/>
      </rPr>
      <t>Porady ředitelů a ekonomů příspěvkových organizací</t>
    </r>
    <r>
      <rPr>
        <sz val="11"/>
        <rFont val="Arial CE"/>
        <charset val="238"/>
      </rPr>
      <t xml:space="preserve">
Finanční prostředky budou použity na zajištění pracovních setkání vybraných pracovníků OSV vč. účasti náměstkyně Mgr. Yvony Kubjátové s řediteli a ekonomy příspěvkových organizací za účelem metodického vedení a řešení aktuálních problémů v sociální a ekonomické oblasti. Prostředky budou využity na pronájem místností, pronájem techniky a drobného občerstvení.  
</t>
    </r>
  </si>
  <si>
    <r>
      <rPr>
        <b/>
        <sz val="11"/>
        <rFont val="Arial CE"/>
        <charset val="238"/>
      </rPr>
      <t>Služby pošt</t>
    </r>
    <r>
      <rPr>
        <sz val="11"/>
        <rFont val="Arial CE"/>
        <charset val="238"/>
      </rPr>
      <t xml:space="preserve">
Úhrada za služby pošt související s odesíláním zdravotní dokumentace žadatelů o náhradní rodinnou péči a specializovaných vyšetření, která jsou nezbytná v rámci rozhodování o zařazení žadatelů do evidence osob vhodných stát se osvojiteli či pěstouny dle § 27 zákona č. 359/1999 Sb., o sociálně-právní ochraně dětí, ve znění pozdějších předpisů. Jedná se o aktivity v přenesené působnosti. 
</t>
    </r>
  </si>
  <si>
    <r>
      <rPr>
        <b/>
        <sz val="11"/>
        <rFont val="Arial CE"/>
        <charset val="238"/>
      </rPr>
      <t>Náklady spojené se soudním jednáním</t>
    </r>
    <r>
      <rPr>
        <sz val="11"/>
        <rFont val="Arial CE"/>
        <charset val="238"/>
      </rPr>
      <t xml:space="preserve">
V návaznosti na ustanovení § 16 zákona č. 500/2004 Sb., správní řád, ve znění pozdějších předpisů, je nezbytné počítat s nutností zajištění tlumočení a překladů občanům ČR příslušejícím knárodnostní menšině, která tradičně a dlouhodobě žije na území ČR, případně zajištění jiného tlumočení v rámci správního řízení v působnosti oddělení sociální pomoci a oddělení sociálně-právní ochrany (např. do českého znakového jazyka, apod.).Částka reaguje na správní řád upravující postavení příslušného orgánu krajského úřadu v procesu správního řízení. Jedná se o aktivity v rámci výkonu přenesené působnosti.  
</t>
    </r>
  </si>
  <si>
    <r>
      <rPr>
        <b/>
        <sz val="11"/>
        <rFont val="Arial CE"/>
        <charset val="238"/>
      </rPr>
      <t>Náklady na soudní spory</t>
    </r>
    <r>
      <rPr>
        <sz val="11"/>
        <rFont val="Arial CE"/>
        <charset val="238"/>
      </rPr>
      <t xml:space="preserve">
Náklady na soudní spory (náklady řízení) v oblasti registrací poskytovatelů sociálních služeb a správních deliktů. Jedná se o náklady spojené s výkonem přenesené působnosti. Náklady na úhradu soudních poplatků, které by vznikly v souvislosti s prohranými soudními spory v případech žalob proti rozhodnutí vydaným oddělením sociální pomoci. Jedná se o náklady spojené s výkonem přenesené působnosti.  
</t>
    </r>
  </si>
  <si>
    <t xml:space="preserve">Finanční prostředky na zajištění pravidelných porad s řediteli škol a školských zařízení zřizovaných Olomouckým krajem a dále pro akce  Zastupitelstva mládeže Olomouckého kraje.  
</t>
  </si>
  <si>
    <r>
      <rPr>
        <b/>
        <sz val="11"/>
        <rFont val="Arial CE"/>
        <charset val="238"/>
      </rPr>
      <t xml:space="preserve">Hry V. zimní olympiády dětí a mládeže 2012 </t>
    </r>
    <r>
      <rPr>
        <sz val="11"/>
        <rFont val="Arial CE"/>
        <charset val="238"/>
      </rPr>
      <t xml:space="preserve">
Zahrnuje prostředky na úhradu jednotného ošacení a dresů pro účastníky Her V. zimní olympiády dětí a mládeže 2012, která se koná v termínu od 29. 1. - 3. 2. 2012.  
</t>
    </r>
  </si>
  <si>
    <r>
      <rPr>
        <b/>
        <sz val="11"/>
        <rFont val="Arial CE"/>
        <charset val="238"/>
      </rPr>
      <t xml:space="preserve">Zastupitelstvo mládeže Olomouckého kraje </t>
    </r>
    <r>
      <rPr>
        <sz val="11"/>
        <rFont val="Arial CE"/>
        <charset val="238"/>
      </rPr>
      <t xml:space="preserve">
Zahrnuje prostředky na proplacení nákladů spojených se zasedáním Rady a Zastupitelstva mládeže Olomouckého kraje (včetně jednání výborů Zastupitelstva), Národního parlamentu dětí a mládeže a akcí souvisejících s činností Rady a Zastupitelstva mládeže Olomouckého kraje.  
</t>
    </r>
  </si>
  <si>
    <r>
      <rPr>
        <b/>
        <sz val="11"/>
        <rFont val="Arial CE"/>
        <charset val="238"/>
      </rPr>
      <t xml:space="preserve">Příspěvek na dofinancování evropských vzdělávacích programů </t>
    </r>
    <r>
      <rPr>
        <sz val="11"/>
        <rFont val="Arial CE"/>
        <charset val="238"/>
      </rPr>
      <t xml:space="preserve">
Poskytování příspěvku vyjadřuje zájem Olomouckého kraje o rozvoj mezinárodních aktivit v Olomouckém kraji. Finanční podpora bude poskytnuta ze strany Olomouckého kraje především školám aškolským zařízením zřizovaným Olomouckým krajem, občanským sdružením, nadačním fondům při školách a školských zařízeních zřizovaných Olomouckým krajem. Příspěvek bude poskytován zejména v případech, kdy grant získaný od příslušného poskytovatelenení dostatečný pro celkovou realizaci projektu.  
</t>
    </r>
  </si>
  <si>
    <r>
      <rPr>
        <b/>
        <sz val="11"/>
        <rFont val="Arial CE"/>
        <charset val="238"/>
      </rPr>
      <t xml:space="preserve">Stipendia pro žáky učebních oborů  </t>
    </r>
    <r>
      <rPr>
        <sz val="11"/>
        <rFont val="Arial CE"/>
        <charset val="238"/>
      </rPr>
      <t xml:space="preserve">
Jednou z priorit Rady Olomouckého kraje v oblasti školství pro období 2008 - 2012 je na základě Programového prohlášení Rady Olomouckého kraje podpora učňovského školství, mimo jiné zavedením motivačních stipendií pro žáky učebních oborů v souladu s požadavky trhu práce. Rada Olomouckého kraje proto dne 17. 9. 2009 svým usnesením č. UR/22/28/2009 schválila „Pravidla pro poskytování učňovských stipendií Olomouckého kraje“. Na základě tohoto materiálu je poskytována žákům vybraných oborů vzdělání poskytujících střední vzdělání s výučním listem v průběhu jejich profesní přípravy finanční podpora z rozpočtu Olomouckého kraje. Toto opatření je uplatňováno od 1. 9. 2010 počínaje žáky prvních ročníků vybraných oborů. V dalších letech se vyplácení stipendií rozšiřovalo o další ročníky. Z rozpočtu roku 2012 bude finanční příspěvek vyplácen žákům vybraných oborů 1., 2. i 3. ročníků.  
</t>
    </r>
  </si>
  <si>
    <t xml:space="preserve">Zahrnuje prostředky na úhradu nákladů na pohoštění pro účastníky Krajské konference environmentálního vzdělávání, výchovy a osvěty  Olomouckého kraje 2012.  
</t>
  </si>
  <si>
    <t xml:space="preserve">Olomoucký kraj je spolupořadatelem (2005, 2007, 2009 - 2011) soutěže o nejlepší regionální potravinářský produkt "Výrobek  Olomouckého kraje". Záštitu nad touto soutěží měl doposud vždy hejtman Olomouckého kraje. Obdobné soutěže organizují i jiné kraje. Předmětem akce je umožnění prezentace a propagace potravinářských výrobků vyrobených na území Olomouckého kraje oceněných v soutěži o nejlepší regionální potravinářský produkt "Výrobek Olomouckého kraje" na mezinárodním potravinářském veletrhu Salima v Brně, který se koná ve dvouleté periodě. Prezentaci a propagaci oceněných výrobků na potravinářském veletrhu Salima podpořil kraj již v roce 2008 a 2010. Navržená výše podpory vychází ze skutečnosti v roce 2010.  
</t>
  </si>
  <si>
    <t xml:space="preserve">Úhrada nákladů spojených s organizací chovatelských přehlídek pro hodnocení kvality chované a kontrolou ulovené zvěře - § 59 odst. 2  písm. b) zákona č. 449/2001Sb., o myslivosti.  
</t>
  </si>
  <si>
    <t xml:space="preserve">Rada Olomouckého kraje usnesením UR/71/31/2011 ze dne 13. 09. 2011 uložila vedoucímu odboru životního prostředí uplatnit finanční  požadavky na realizaci úpravy porostu podél hradu Helfštýn v rozpočtu 2012. Konkrétně se jedná o zpracování podkladů pro rozhodování orgánů státní správy a posouzení vlivu úprav porostu na statiku hradu.  
</t>
  </si>
  <si>
    <r>
      <rPr>
        <b/>
        <sz val="11"/>
        <rFont val="Arial CE"/>
        <charset val="238"/>
      </rPr>
      <t xml:space="preserve">Neinvestiční příspěvek na provoz - Letiště Přerov a.s. </t>
    </r>
    <r>
      <rPr>
        <sz val="11"/>
        <rFont val="Arial CE"/>
        <charset val="238"/>
      </rPr>
      <t xml:space="preserve">
Jedná se o finanční prostředky spojené s činností akciové společnosti Letiště Přerov, případně nákladů na pořízení a pronájem hmotného majetku. Příspěvek bude poskytnut na základě smlouvy mezi krajem a akciovou společností Letiště Přerov a částka bude odpovídat podílu Olomouckého kraje ve společnosti. Financování provozu Letiště Přerov a.s. vychází z Memoranda o spolupráci při rozvoji a provozu letiště (schváleno ZOK č. UZ/6/42/2009 ze dne 29. 6. 2009).                                                                
</t>
    </r>
  </si>
  <si>
    <r>
      <rPr>
        <b/>
        <sz val="11"/>
        <rFont val="Arial CE"/>
        <charset val="238"/>
      </rPr>
      <t>Neinvestiční příspěvek - Regionální agentura pro rozvoje Střední Moravy</t>
    </r>
    <r>
      <rPr>
        <sz val="11"/>
        <rFont val="Arial CE"/>
        <charset val="238"/>
      </rPr>
      <t xml:space="preserve"> 
Neinvestiční příspěvek je poskytován na základě smlouvy č. 2009/02640/OSR/DSM a jeho poskytnutí bylo schváleno usnesením ROK č. UR/13/66/2007 dne 4. 6. 2009a usnesením ZOK č. UZ/6/3/38/2009 dne 29. 6. 2009. Smlouva přechází do roku 2012.                                                                
</t>
    </r>
  </si>
  <si>
    <r>
      <rPr>
        <b/>
        <sz val="11"/>
        <rFont val="Arial CE"/>
        <charset val="238"/>
      </rPr>
      <t xml:space="preserve">KHK OK - Časopis podnikatelů </t>
    </r>
    <r>
      <rPr>
        <sz val="11"/>
        <rFont val="Arial CE"/>
        <charset val="238"/>
      </rPr>
      <t xml:space="preserve">
Částečně plnění Akčního plánu č.1 RIS. Příspěvek Olomouckého kraje Krajské hospodářské komoře Olomouckého kraje na Časopis podnikatelů, který od roku 2007 vychází v obnoveném vydání za podpory a finanční spoluúčasti Olomouckého kraje ve výši 300tis.Kč.  
Schválení aktivity pro rok 2012 půjde ke schválení do ROK v prosinci 2011.                                                                
</t>
    </r>
  </si>
  <si>
    <r>
      <rPr>
        <b/>
        <sz val="11"/>
        <rFont val="Arial CE"/>
        <charset val="238"/>
      </rPr>
      <t xml:space="preserve">Soutěž Podnikatel roku 2011 - ocenění vítěze </t>
    </r>
    <r>
      <rPr>
        <sz val="11"/>
        <rFont val="Arial CE"/>
        <charset val="238"/>
      </rPr>
      <t xml:space="preserve">
Částečně plnění Akčního plánu č.1 RIS. Darovací smlouva o převedení finančních prostředků pro vítěze soutěže Podnikatel roku 2011 Olomouckého kraje. Schválení aktivity pro rok 2012 půjde ke schválení do ROK v prosinci 2011.                                                                
</t>
    </r>
  </si>
  <si>
    <r>
      <rPr>
        <b/>
        <sz val="11"/>
        <rFont val="Arial CE"/>
        <charset val="238"/>
      </rPr>
      <t xml:space="preserve">Podpora klastrů </t>
    </r>
    <r>
      <rPr>
        <sz val="11"/>
        <rFont val="Arial CE"/>
        <charset val="238"/>
      </rPr>
      <t xml:space="preserve">
Částečně plnění Akčního plánu č.1 RIS. Podpora činnosti a rozvoje 4 klastrů působících v Olomouckém kraji - Český nanotechnologický klastr, družstvo Informačně-technologický klastr Olomouc, družstvo Moravskoslezský dřevařský klastr, o.s.  MedChemBio - zájmové sdružení právnických osob. Příspěvek na činnost jednoho klastru max. 200 000 Kč. Schválení aktivity pro rok 2012 půjde do ROK v prosinci 2011.                                                                 
</t>
    </r>
  </si>
  <si>
    <r>
      <rPr>
        <b/>
        <sz val="11"/>
        <rFont val="Arial CE"/>
        <charset val="238"/>
      </rPr>
      <t xml:space="preserve">Soudní náhrady </t>
    </r>
    <r>
      <rPr>
        <sz val="11"/>
        <rFont val="Arial CE"/>
        <charset val="238"/>
      </rPr>
      <t xml:space="preserve">
K rozsudkům soudů vzniklých v řízení (soudní přezkumy dle Soudního řádu správního). Stanovené dle ustanovení § 60 odst. 1 zákona č. 50/2002 Sb., soudního řádu správního.                                                                
</t>
    </r>
  </si>
  <si>
    <r>
      <rPr>
        <b/>
        <sz val="11"/>
        <rFont val="Arial CE"/>
        <charset val="238"/>
      </rPr>
      <t xml:space="preserve">Pohoštění v rámci prezentace kraje na konferencích, veletrzích a dalších akcích   </t>
    </r>
    <r>
      <rPr>
        <sz val="11"/>
        <rFont val="Arial CE"/>
        <charset val="238"/>
      </rPr>
      <t xml:space="preserve">  
Výdaje na zajištění občerstvení na konferencích a veletrzích za účelem propagace investičních příležitostí, rozvojových ploch, průmyslových zón apod.(10tis.Kč). Výdaje na zajištění občerstvení na slavnostním večeru spojeném s vyhlášením soutěže Podnikatel roku 2011 Olomouckého kraje (20tis.Kč). Schválení aktivity pro rok 2012 půjde do ROK v prosinci 2011.                                                                 
</t>
    </r>
  </si>
  <si>
    <r>
      <rPr>
        <b/>
        <sz val="11"/>
        <rFont val="Arial CE"/>
        <charset val="238"/>
      </rPr>
      <t xml:space="preserve">Pronájem - jednání k nezaměstnanosti                                                       </t>
    </r>
    <r>
      <rPr>
        <sz val="11"/>
        <rFont val="Arial CE"/>
        <charset val="238"/>
      </rPr>
      <t xml:space="preserve">
Pronájem prostor v rámci realizace panelových diskusí v oblastech Olomouckého kraje postižených vysokou nezaměstnaností. Pronájem prostor pro realizaci seminářů k podpoře sociálního podnikánía seminářů vztahujících se k realizaci Projektu společenské odpovědnosti v Olomouckém kraji.                                                                
</t>
    </r>
  </si>
  <si>
    <r>
      <rPr>
        <b/>
        <sz val="11"/>
        <rFont val="Arial CE"/>
        <charset val="238"/>
      </rPr>
      <t xml:space="preserve">1. Technické zabezpečení soutěže Vesnice roku 2012                                               60 tis.Kč       </t>
    </r>
    <r>
      <rPr>
        <sz val="11"/>
        <rFont val="Arial CE"/>
        <charset val="238"/>
      </rPr>
      <t xml:space="preserve"> 
Náklady na přepravu a činnost členů hodnotitelské komise v rámci soutěže Vesnice roku 2012 (celkem 10 členů).                                                                
</t>
    </r>
    <r>
      <rPr>
        <b/>
        <sz val="11"/>
        <rFont val="Arial CE"/>
        <charset val="238"/>
      </rPr>
      <t xml:space="preserve">2. Příspěvek Krajské energetické agentuře na osvětovou činnost (KEA) v roce 2012                      350 tis.Kč        </t>
    </r>
    <r>
      <rPr>
        <sz val="11"/>
        <rFont val="Arial CE"/>
        <charset val="238"/>
      </rPr>
      <t xml:space="preserve">
Příspěvek OK na osvětovou činnost KEA (pořádání seminářů, exkurzí, konzultací, poradenství, odborná technická posouzení..)  
</t>
    </r>
  </si>
  <si>
    <r>
      <rPr>
        <b/>
        <sz val="11"/>
        <rFont val="Arial CE"/>
        <charset val="238"/>
      </rPr>
      <t xml:space="preserve">3. Spolupráce Olomouckého kraje s AO Vojvodina -  560 tis.Kč        </t>
    </r>
    <r>
      <rPr>
        <sz val="11"/>
        <rFont val="Arial CE"/>
        <charset val="238"/>
      </rPr>
      <t xml:space="preserve">
Finanční spoluúčast Olomouckého kraje: 
- na realizaci osmého kulatého stolu – obchodní příležitosti a možnosti investic v Srbsku – 100 000Kč  
- finanční podpora informačního portáluwww.newbalkan.com – 60 000 Kč. Schválení aktivity pro rok 2012 půjde do ROK v prosinci 2011 
- účast Olomouckého kraje na projektu "Předávání zkušeností v oblasti regionálního rozvoje a budování absorpčních kapacit pro efektivní čerpání finančních prostředků z fondů EU" - 400 000.Kč - navazuje na projekt z roku 2011. Schválení aktivity pro rok 2012  půjde do ROK v  prosinci 2011                                                                 
</t>
    </r>
  </si>
  <si>
    <r>
      <rPr>
        <b/>
        <sz val="11"/>
        <rFont val="Arial CE"/>
        <charset val="238"/>
      </rPr>
      <t>Překlady</t>
    </r>
    <r>
      <rPr>
        <sz val="11"/>
        <rFont val="Arial CE"/>
        <charset val="238"/>
      </rPr>
      <t xml:space="preserve">
Výdaje na překlady důležitých dokumentů a dopisů Finančních mechanismů EHP a Norska pro období r. 2009-2014 (20tis.Kč). Zajištění překladu důležitých dokumentů pro rozvoj podnikání a vstup investorů (30tis.Kč), výdaje napřeklady důležitých dokumentů a dopisů řídících struktur Programu přeshraniční spolupráce Česká republika - Polská republika 2007 - 2013 (10tis.Kč).                                                                
</t>
    </r>
  </si>
  <si>
    <r>
      <rPr>
        <b/>
        <sz val="11"/>
        <rFont val="Arial CE"/>
        <charset val="238"/>
      </rPr>
      <t xml:space="preserve">Vesnice roku 2012  </t>
    </r>
    <r>
      <rPr>
        <sz val="11"/>
        <rFont val="Arial CE"/>
        <charset val="238"/>
      </rPr>
      <t xml:space="preserve">
Ocenění obcí Olomouckým krajem v krajském kole soutěže Vesnice roku 2012, za 1. místo 100 tis. Kč na uspořádání slavnostního vyhlášení krajského kola zajištění propagačních materiálů, 2. místo 100 tis. Kč, 3. místo 100 tis. Kč, speciální finanční ocenění čtyřem obcím-celkem 200 tis. Kč. Soutěž má vazbu na celostátní kolo organizované MMR, jedná se o 11. ročník krajského kola soutěže.  
</t>
    </r>
  </si>
  <si>
    <r>
      <rPr>
        <b/>
        <sz val="11"/>
        <rFont val="Arial CE"/>
        <charset val="238"/>
      </rPr>
      <t xml:space="preserve">Projekt "ESÚS 2012" </t>
    </r>
    <r>
      <rPr>
        <sz val="11"/>
        <rFont val="Arial CE"/>
        <charset val="238"/>
      </rPr>
      <t xml:space="preserve">
Zastupitelstvo Olomouckého kraje schválilo svým usnesením č. UZ/19/43/2011 ze dne 22. 4. 2011 účast Olomouckého kraje v projektu "Strategie integrované spolupráce česko-polského příhraničí“. Projekt byl podánvedoucím partnerem, tj. Královéhradeckým krajem, v  rámci 4. kola průběžné výzvy Operačního programu přeshraniční spolupráce Česká republika – Polsko (dále OPPS ČR – PR) 2007 – 2013, oblasti podpory 3.1 – Územní spolupráce veřejných institucí.                                                                
</t>
    </r>
  </si>
  <si>
    <r>
      <rPr>
        <b/>
        <sz val="11"/>
        <rFont val="Arial CE"/>
        <charset val="238"/>
      </rPr>
      <t xml:space="preserve">Technická pomoc I               </t>
    </r>
    <r>
      <rPr>
        <sz val="11"/>
        <rFont val="Arial CE"/>
        <charset val="238"/>
      </rPr>
      <t xml:space="preserve">                                                 
a) Nákupy mapových podkladů a zveřejňování územně plánovacích podkladů a dokumentací na Internetu nejen ve fázi po dokončení, ale i v průběhu pořizování, čímž se značně zvyšuje četnost umisťování dokumentací pro dálkovýpřístup. - 500 tis.Kč    
b) zpracování mapových podkladů, provozní náklady územně anylytických podkladů (ÚAP), technické zpracování dokumentace - 
200 tis.Kč 
</t>
    </r>
  </si>
  <si>
    <r>
      <rPr>
        <b/>
        <sz val="11"/>
        <rFont val="Arial CE"/>
        <charset val="238"/>
      </rPr>
      <t xml:space="preserve">Členský příspěvek Euroregion Glacensis </t>
    </r>
    <r>
      <rPr>
        <sz val="11"/>
        <rFont val="Arial CE"/>
        <charset val="238"/>
      </rPr>
      <t xml:space="preserve">
Smlouva o mimořádném členství č. 2005/0924/OSR/DSM schválená usnesením ROK č. UR/17/55/2005 ze dne 16. 6. 2005 a dodatkem č. S- 2008/0848/OSR/D1 schváleným usnesením ROK č. UR/76/38/2008 ze dne 31. 1. 2008.                                                                
</t>
    </r>
  </si>
  <si>
    <r>
      <rPr>
        <b/>
        <sz val="11"/>
        <rFont val="Arial CE"/>
        <charset val="238"/>
      </rPr>
      <t xml:space="preserve">Členský příspěvek Euroregion Praděd  </t>
    </r>
    <r>
      <rPr>
        <sz val="11"/>
        <rFont val="Arial CE"/>
        <charset val="238"/>
      </rPr>
      <t xml:space="preserve">
Smlouva o přidruženém členství č. 2009/03250/OSR/DSM, schválená UZ/6/50/2009 ze dne 29. 6. 2009, schválení Smlouvy usnesením ROK  č. UR/18/13/2009 ze dne 30. 7. 2009 - členský příspěvek ve výši280 tis. Kč ročně, poskytnutí I. čtvrtletí daného kalendářního roku.                                                                
</t>
    </r>
  </si>
  <si>
    <r>
      <rPr>
        <b/>
        <sz val="11"/>
        <rFont val="Arial CE"/>
        <charset val="238"/>
      </rPr>
      <t xml:space="preserve">Výdaje za soudní poplatky.  </t>
    </r>
    <r>
      <rPr>
        <sz val="11"/>
        <rFont val="Arial CE"/>
        <charset val="238"/>
      </rPr>
      <t xml:space="preserve">
S účinností od 1.4.2011 bylo ředitelem KÚOK rozhodnuto o převedení části agend z ODSH na OSL, která se týká rozhodování v odvolacím řízení o záznamu bodů v registru řidičů v důsledku porušení povinnosti stanovené zákonem o provozu na pozemních  komunikacích. Vzhledem k tomu, že dosažení 12 bodů v registru řidičů znamená pro řidiče, je-li to jeho povolání, ztrátu změstnání, jsou ve velkém rozsahu proti našim rozhodnutím podávány žaloby ke správnímu soudu. S podanou žalobou je nutné provést úhradu soudních poplatků v případě, kdy námi rozhodovaná věc je vrácena k novému projednání a rozhodnutí.   
</t>
    </r>
  </si>
  <si>
    <t xml:space="preserve">Dle zákona č. 589/1992 Sb., o pojistném na sociální zabezpečení a příspěvku na státní politiku zaměstnanosti, ve znění pozdějších  předpisů (25%).                                                          
</t>
  </si>
  <si>
    <t xml:space="preserve">Dle zákona č. 48/1997 Sb., o veřejném zdravotním pojištění a o změně a doplnění některých souvisejících zákonů, ve znění pozdějších  předpisů (9%).                                                         
</t>
  </si>
  <si>
    <t xml:space="preserve">Dle vyhlášky č. 125/1993 Sb., kterou se stanoví podmínky a sazby zákonného pojištění odpovědnosti zaměstnavatele za škodu při pracovním úraze nebo nemoci z povolání, ve znění pozdějších předpisů (4,2‰). Pro rok 2012 navrhujeme zvýšení finančních prostředků vzhledem k čerpání v roce 2011.    </t>
  </si>
  <si>
    <t xml:space="preserve">Nákup a výměna opotřebovaného nefunkčního vybavení v kancelářích (výměna nefunkčních skartovače, nákup kancelářských židlí -  nutná výměna za opotřebované, nákup regálů do archviu, další nákupy za opotřebované nefunkční vybavení        
</t>
  </si>
  <si>
    <r>
      <t xml:space="preserve">1. SodexoPass, s. r. o. Praha - Smlouva o odběru poukázek, ORG 12000000000- 2 600 tis. Kč 
2. Jan Grézl, Sylva Grézlová - HARYSERVIS II., Olomouc - Smlouva o zabezpečení úklidových prací č. 231/II ve znění dodatků -  úklid v budově RCO, ORG 12000000000 - 1 794 tis. Kč 
3. Jan Grézl,Sylva Grézlová - HARYSERVIS II., Olomouc - Smmlouva o zabezpečení úklidových prací č. 165/I., ve znění dodatků - úklid v  budově KÚOKORG 12000000000 -  1 462 tis. Kč 
4. Statutární město Olomouc - Dohoda o užívání podzemního pakroviště, ORG 12000000000 -  1 300 tis. Kč 
5. S.O.S. akciová společnost, Olomouc - Smlouva o poskytování bezpečnostních služeb, </t>
    </r>
    <r>
      <rPr>
        <sz val="10"/>
        <rFont val="Arial CE"/>
        <charset val="238"/>
      </rPr>
      <t>ORG 12000000000</t>
    </r>
    <r>
      <rPr>
        <sz val="11"/>
        <rFont val="Arial CE"/>
        <charset val="238"/>
      </rPr>
      <t xml:space="preserve"> - 797 tis. Kč 
6. GRASO a.s., Olomouc - Smlouva o střežení objektu ve znění dodatků - ostraha obejtku RCO, </t>
    </r>
    <r>
      <rPr>
        <sz val="10"/>
        <rFont val="Arial CE"/>
        <charset val="238"/>
      </rPr>
      <t>ORG 12000000000</t>
    </r>
    <r>
      <rPr>
        <sz val="11"/>
        <rFont val="Arial CE"/>
        <charset val="238"/>
      </rPr>
      <t xml:space="preserve"> -  640 tis. Kč 
7. ZELOS spol. s.r.o., Praha - Smlouva o odběrupokrmů3 ORG 12000000000 -  360 tis. Kč 
8. Revize - klimatice, UPS, hasicí zařízení s argonitem, ruční hasicí přístroje, hydranty, suchovod, EZS Žilinská, EZS přenos, rozvaděče, nouzové osvětlení, diesel, hromosvod a elektroinstalace Žilinská, elektroinstalace - bufet, elektroinstalace, venkovní šachta,sprinklery, vzduchotechnika, ORG 12000000000 -  327 tis. Kč 
9. Česká pošta, s. p. Praha - Smlouva o svozu a rozvozu poštovních zásilek, ORG 12000000000 -  185 tis. Kč   
10. Jan Grézl, Sylva Grézlová - HARYSERVIS II., Olomouc - Smlouva o zabezpečení úklidových prací č. 280/IV., ve znění dodatků - úklid v budově RCO, ORG 12000000000 -  171 tis. Kč 
11. Česká tisková kancelář, Praha - Smlouva o dodávání zpravodajského servisu ČT, ORG 12000000000 -  156 tis. Kč 
12. Střední odborná škola a Střední odborné učiliště strojírenské a stavební Jeseník - pracoviště Jeseník, Dohoda o užívání nebytových prostor a úhrada za služby, ORG 12000000000 -  150 tis. Kč 
13. Technické služby města Olomouce, a.s. - Smlouva o odvozu a zneškodňování odpadů, </t>
    </r>
    <r>
      <rPr>
        <sz val="10"/>
        <rFont val="Arial CE"/>
        <charset val="238"/>
      </rPr>
      <t>ORG 12000000000</t>
    </r>
    <r>
      <rPr>
        <sz val="11"/>
        <rFont val="Arial CE"/>
        <charset val="238"/>
      </rPr>
      <t xml:space="preserve"> -  150 tis. Kč 
14. ANOPRESS Praha - Smlouva /monitoring zpravodajský servis, ORG 12000000000 -  76 tis. Kč 
15. Dopravní zdravotnictví a.s. Třinec - Smlouva o závodní preventivní péči, ORG 12000000000 -  50 tis. Kč 
16. Časové razítko, ROG 12000000000 -  600 tis. Kč 
17. Ostatní úhrady nasmlouvané na objednávky - inzerce, poplatky za televizory, rádia, mytí oken v budovách KÚOK a RCO, mytí garáží, čištění fontány, úklid kancelářských prostor nad rámec uzavřených smluv, kurýrní služba, mytí žaluzií, výroba informačního systému, zhotovení vizitek, aj., ROG 12000000000 -  1 176 tis. Kč. 
18. Regionální centrum Olomouc, s. r. o., - Smlouva o zajištění služeb č. R2/S/2008/001, ORG 0012008000000 - 1 620 tis. Kč  
19. ÚZSVM Šumperk, Smlouva o nájmu nebytových prostor č. UZSVM/OSU/5034/2010-OSUH - služby, ORG 12010000000- 126 tis.Kč   
</t>
    </r>
  </si>
  <si>
    <t xml:space="preserve">Položka zahrnuje náklady na dotisk stávajících propagačních materiálů např. turistických a cykloturistických map. V této položce je zahrnuta i částka na nákup drobného materiálu (drobný mobiliář na dovybavení stánku na výstavách cestovního ruchu) a na propagační předměty pro prezentaci kraje na veletrzích cestovního ruchu. Uvedená aktivita vychází z Akčního plánu Marketingové studie cestovního ruchu Olomouckého kraje na období 2011 - 2013 (výhled do roku 2016). </t>
  </si>
  <si>
    <t xml:space="preserve">Z této položky bude hrazen příspěvek statutárnímu městu Olomouc na rok 2011 na základě smlouvy o spolupráci a podpoře činnosti  informační sítě Europe Direct uzavřené v souladu s rámcovou smlouvou uzavřenou v roce 2009 (číslo sml.: 009/00751/KH/DSB).  
</t>
  </si>
  <si>
    <t xml:space="preserve">Na této položce jsou rozpočtovány prostředky pro možnost poskytnutí příspěvku fyzickým osobám na zajišťování zahraničních aktivit  kraje (dle zkušenosti čerpání v letech 2006-2011 – v souvislosti s reprezentací Olomouckého kraje v Youth Regional Network AER a  účastí na akcích partnerských regionů).  
</t>
  </si>
  <si>
    <t xml:space="preserve">Materiál pro potřeby jednotek sborů dobrovolných hasičů obcí Olomouckého kraje a pořízení propagačního materiálu, který je určený  složkám IZS k prezentaci a propagaci Olomouckého kraje v průběhu roku 2012.  Zároveň tento materiál slouží jako ocenění pro děti do škol na různé hasičské soutěže aj.  
</t>
  </si>
  <si>
    <t xml:space="preserve">Kraj k zabezpečení plošného pokrytí území kraje jednotkami požární ochrany přispívá dle § 27 zákona č. 133/1985 Sb., o požární ochraně ve  znění pozdějších předpisů obcím na financování potřeb jejich jednotek sborů dobrovolných hasičů obcí. Olomoucký kraj si plně uvědomuje nezbytnost udržení akceschopnosti těchto jednotek, které spolu s Hasičským záchranným sborem Olomouckého kraje tvoří prvosledové složky při odstraňování následků mimořádných událostí a krizových situací na území Olomouckého kraje.  
</t>
  </si>
  <si>
    <t xml:space="preserve">Služby související s realizací komunikačních kampaní zadávaných na základě požadavku hejtmana, případně rozhodnutí vedení či Rady Olomouckého kraje. Částka bude sloužit např. na úhradu nákladů na reklamní bannery a PPC kampaně (pey per click – platba za kliknutí).  V roce 2011 byla např. realizována soutěž 7 divů Olomouckého kraje.  
</t>
  </si>
  <si>
    <t xml:space="preserve">Na této položce jsou čerpány výdaje za tel. služby (GTS Czech) pro členy zastupitelstva a poslanecké kluby (pevné linky) a dále provoz  mobilních telefonů (Telefónica O2) členů zastupitelstva (vedení) včetně poplatků za internetového připojení.  
</t>
  </si>
  <si>
    <t xml:space="preserve">Zahrnuje výdaje za: 
- ubytování oficiálních návštěv Olomouckého kraje (pozvaní hosté),  
- za zajištění překladatelských služeb při zahraničních návštěvách včetně překladu písemných materiálů,  
- úhradu průvodcovských služeb při organizaci a zajištění programu oficiálních návštěv kraje,  
- zahraniční prezentace a propagaci v zahraničí, 
- propagace webu kraje, aplikace loga, grafické práce, 
- vydání výroční zprávy za rok 2011 (cca 100 tis. Kč),  
- čištění a mytí vozidel využívaných a přidělených uvolněným členům zastupitelstva,  
- úhradu poplatků za rozhlasové(5x) a televizní přijímače(7x) užívané v rámci kanceláří uvolněnými členy zastupitelstva (135,- Kč/TV/měsíc a 45,- Kč/rádio/měsíc),  
- úhrady dle smlouvy o zajištění zpravodajského servisu (ČTK 2007/0250/KH/DSM, Annopress 2008/0426/KH/DSM),  
- úhradu podílu za zajištění úklidu budovy (Jeremenkova 40a) - podíl podlahové plochy zaujímané kancelářemi uvolněných členů vedení a polit. klubů 15,69 % (2002/0232/SŘ/DSM/D6) = cca 272 tis. Kč/rok. 
Z této položky jsou hrazeny i fotopráce, kopírování materiálů pro orgány kraje (podklady pro jednání při nefunkčnosti kopírek KÚ) a knihařské práce (archivace materiálů ze zastupitelstva a rady r. 2011 - předpoklad je max. do 50tis. Kč). 
V rámci této položky je hrazen i poplatek za licenční smlouvu org. OSA (úhrada 2011=500 317 Kč). 
Na položce je nárokován i členský poplatek Olomouckého kraje v Čs. ústav zahraniční 5 tis. Kč.  
Na této položce jsou rozpočtovány i fin. prostředky na krytí tradičních i nových akcí Olomouckého kraje organizovaných kanceláří  
hejtmana. Jedná se především o tyto akce:  
Konference samospráv, setkání se starostkami obcí Olomouckého kraje, setkání se starosty obcí Olomouckého kraje, Stavba roku, III. setkání Hanáků, setkání tiskových mluvčích ORP, Dožínky Olomouckého kraje, ples Olomouckého kraje, akce pro válečné veterány, poděkování hejtmana dárcům krve, Vánoce Olomouckého kraje. Další akce nejsou rozpočtově kryty a v případě, kdy vedení kraje rozhodne o realizaci dalších akcí popř. o změně formátu akce, bude  třeba řešit fin. krytí rozpočtu akcí v závislosti na vývoji hospodaření kraje. 
</t>
  </si>
  <si>
    <t xml:space="preserve">Zahrnuje výdaje za: 
- opravy vozidel zastupitelů - Auto Hégr (Škoda Superb 4M1 2126, Škoda Octavia 3M9 3370, Škoda Octavia 3M9 3360, Škoda Octavia  4M0 3536 a Toyota 4M0 9767).  
- opravy a servis kávovarů (2., 3., 4., 6., 8., 9. a 10. NP). 
</t>
  </si>
  <si>
    <t>7=6/3</t>
  </si>
  <si>
    <t xml:space="preserve">1. Čerpání na této položce představují výdaje za roční poplatky za platební karty, příp. poplatky za vyřízení víza při zahraničních cestách, ORG 1100000000000  - 40 tis.Kč.  
2. Čerpání na této položce představují výdaje za pojištění členů zastupitelstva při zahraničních pracovních cestách,
 ORG 20003000000 - 10 tis.Kč.  
</t>
  </si>
  <si>
    <t xml:space="preserve">1. Servis, pozáruční a záruční opravy, roční prohlídky vozidel OK, ORG 0012004000000 -  500 tis. Kč  
2.  DIGITAL TELECOMMUNICATIONS, spol. s r.o. Ostrava - Smlouva č. 087/2005 o údržbě komunikačního zařízení včetně dodatku (telefonní ústředna), ORG 12000000000 - 152 tis. Kč 
3. JOHNSON CONTROLS INTERNATIONAL, spol. s r.o. Praha - Smlouva o poskytování služeb (pravidelné preventivní prohlídky, pravidlené údržby, servisní práce), ORG 12000000000 -  150 tis. Kč 
4. SITEL, spol. s r.o., Praha - Smlouva o dílo č. 8888/38 o provádění servisních služeb na slaboprodých včetně dodatků, ORG 12000000000 -  120 tis. Kč 
5. Schindler Moravia, s. r.o. Olomouc- Smlouva o dílo č. V305/1/01 ve znění dodatků, servis a údržba výtahů v budově KÚOK, ORG 12000000000 -  100 tis. Kč 
6. Oprava podzemního parkoviště před nádražím, výměna parkovacího systému, ORG 12000000000 -  500 tis. Kč  
7. Výměna žaluzií, ORG 12000000000 -  200 tis. Kč 
8. Oprava dlažby, ORG 12000000000 -  100 tis. Kč 
9. Nátěr oken, ORG 12000000000 -  400 tis. Kč 
10. Dále jsou z položky 5171 hrazeny ostatní opravy a údržba: opravy závor, garážových vrat, opravy frankovacích strojů, opravy zámků, dveří,  veškeré opravy a údržba na budovách KÚOK, na pronajatém objektu budovy RCO,výměna podlahové krytiny, ORG 12000000000 -   1 778 tis. Kč 
</t>
  </si>
  <si>
    <t xml:space="preserve">1. Dalkia ČR, a.s. Ostrava - Kupní smlouva na dodávku a odběr tepelné energie ORG 0012007000000 - 2 000 tis. Kč
2. Regionální centrum Olomouc, s. r. o., Olomouc - Smlouva o zajištění služeb č. R2/S/2008/001, ORG 0012008000000  -
1 200 tis. Kč  
3.  Nemocnice Šternberk - Dohoda o užívání nebytových prostor a úhradách za služby ORG 0012000000000  - 1 tis. Kč   
</t>
  </si>
  <si>
    <t xml:space="preserve">1. CENTROPOL ENERGY, a.s. Ústí nad Labem - Smlouva o sdružených službách dodávky elektřiny (platnost smlouvy končí 31. 12. 2011) ORG 0012007000000- 2 000 tis.Kč      
2. Regionální centrum Olomouc, s. r. o. Olomouc - Smlouva o zajištění služeb č. R2/2008/001, ORG 001200800000 -1 500 tis. Kč         
3.  CENTROPOL ENERGY, a.s. Ústí nad Labem, Smlouva o sdružených službách dodávky elektřiny (platnost smlouvy končí 31. 12. 2011), ORG 0012009000000  - 100 tis. Kč     
4. Nemocnice Šternberk - Dohoda o užívání nebytových prostor a úhradách za služby (archiv), ORG 0012000000000  - 6 tis. Kč  
5. ÚZSVM Šumperk, Smlouva o nájmu nebytových prostor č. UZSVM/OSU/5034/2010-OSUH - elektrická energie, ORG 12010000000 - 94 tis.Kč.  
</t>
  </si>
  <si>
    <t xml:space="preserve">1.Telefónica 02 Czech Republic, a.s. Praha - Smlouva o poskytování telekomunikačních služeb (mobilní hovory, služby IP VPN, refereční čísla za služby ISDN) - 1 600 tis. Kč 
2. MERIT Group, a.s. Olomouc - Smlouva o poskytování telekomunikačních služeb, Smlouva o připojování , údržbě a provozování zařízení, úhrady za připojení, udržování a provozování telekomunikačních zařízení - INTERNET - 555 tis. Kč 
3. GTS NOVERA, s. r. o. Praha - Smlouva o poskytování veřejně dostupné služby elektronických komunikací (pevné linky) - 
300 tis. Kč 
4. LARGO KAB s. r. o., Olomouc - Smlouva č. 02272/2007 - přenos poplachový zpráv  - 44 tis. Kč 
5. První kapitálová společnost, a.s. Přerov - Smlouva o pronájmu nebytových prostor (archiv OSL - matriky)  - 1 tis. Kč                                  
</t>
  </si>
  <si>
    <t xml:space="preserve">Servisní smlouvy, systémové podpory, úpravy a rozvoj SW, aktualizace SW 
1. BMI SYSTEM CZECH, a.s - CLIX - REGISTR OZNÁMENÍ, oznámení o příjmech veřejných činitelů (smlouva č. 2010/01860/OIT/DSM) - celkem 30 tis.Kč 
2. ANET - služby v rámci rozvojea údržby docházkového systému KÚOK - celkem 80 tis.Kč 
3. ANET - servisní smlouva, upgrade a update SW - údržba a podpora docházkového systému KÚOK (smlouva č.2008/1476/OIT/DSM) - celkem 38 tis.Kč 
4. ArcData Praha - systémová podpora ESRI, podpora produktů firmy ESRI řady ArcGIS (4x ArcView, 2x ArcInfo, ArcGIS servery ...) objednávka) - celkem 450 tis.Kč 
5. ASD - úpravy a rozvoj SW DIS a ISOP, služby v rámci rozvoje a údržby evidenčního systému pro veřejné zakázky a dotace KÚOK - celkem 150 tis.Kč 
6. ASD - servisní smlouva, upgrade a update SW - údržba a podpora evidenčního systému pro veřejné zakázky, dotace KÚOK (smlouva č. 2003/0721/OIT/DSM) - celkem 217 tis.Kč 
7. ASPI - servisní smlouva, upgrade a update SW - údržba a podpora právního informačního systému KÚOK (smlouva č. 2006/1298/OIT/DSM) - celkem 244 tis.Kč 
8. C4U - servisní smlouva, upgrade a update ekonomického informačního systému SAP pro ZZS OK (smlouva č. 2007/2329/OIT/DSM) - celkem 173 tis.Kč 
9. C4U -servisní smlouva, údržba ekonomického informačního systému SAP pro ZZS OK (smlouva č. 2005/0292/OIT/DSM) - celkem  255 tis.Kč 
10. Central European Data - servisní smlouva, pravidelná aktualizace dat StreetNetu (smlouva č. 2006/0042/OIT/DSM + dodatek 2011)  - celkem 65 tis. Kč 
11. DTG - servisní smlouva, upgrade a update SW - údržba a podpora mzdového a personálního informačního systému KÚOK (smlouva č. 2003/0284/OIT/DSM) - celkem 121 tis. Kč 
12. Foresta - servisní smlouva, podpora SW Dotacena OŽPZ pro st. správu lesů (smlouva č. 2008/0730/OIT/DSM) - celkem 
39 tis.Kč 
13. Prostředky na nákup služeb a dat pro GIS - aktualizace mapových podkladů atd. (objednávky) - celkem 500 tis.Kč 
14. Pořízení ortofotomapy v 3 leté periodě s lepší rozlišovací schopností (pro kraj, obce a složky IZS) - celkem 1 500 tis.Kč 
15. Georeal - podpora nadstavby ArcGIS Desktop pro oblast ÚAP na OSR (objednávka) - celkem 15 tis.Kč 
16. GORDIC - rozvoj GINIS, služby v rámci rozvoje a údržby ekonomického systému a spisových služeb KÚOK - celkem 
2 300 tis.Kč 
17. GORDIC - servisní smlouva, upgrade a update SW - údržba a podpora ekonomických informačních systémů a spisových služeb KÚOK (smlouva č.2003/0765/OIT/DSM) - celkem 2 150 tis.Kč 
18. I.CA - obnova certifikátů + nové certifikáty a služby, certifikáty pro elektronický podpis zaměstnanců KÚOK - celkem 85 ks (smlouva č. 2005/0320/OIT/DSM) - celkem 100 tis.Kč 
19. INISOFT - servisní smlouva, upgrade a update SW - údržba a podpora SW - WebSouhlasy internetové rozhraní - informace o vydaných souhlasech se zařízeními pro odpady pro OŽPZ (smlouva č. 2004/0283/OIT/DSM) - celkem 78 tis.Kč 
20. KVASAR - servisní smlouva, upgrade a update SW - údržba a podpora softwarového systému OVZDUŠÍ určeného k podpoře výkonu agendy ochrany ovzduší (smlouva č. 2003/0717/OIT/DSM) - celkem 17 tis.Kč 
21. Marbes consulting s.r.o. - rozvoj SW PROXIO, služby spojené s údržbou a podporou SW pro evidenci nemovitostí a majetku příspěvkových organizací KÚOK - celkem 50 tis.Kč 
22. Marbes consulting s.r.o. - servisní smlouva SW PROXIO, upgrade a update SW - údržba a podpora SW pro evidenci nemovitostí a majetku příspěvkových organizací (smlouva č. 2007/0673/OIT/DSM) - celkem 364 tis.Kč 
23. MP ORGA -servisní smlouva, upgrade a update SW - údržba a podpora SW pro evidenci a výpočty státního příspěvku pro  zřizovatele zařízení pro děti vyžadující okamžitou pomoc - MPOVSP (smlouva č. 2006/1749/OIT/DSM) celkem 27 tis.Kč 
24. MUZO - servisní smlouva, upgrade a update SW - údržba a podpora SW pro tvorbu ekonomických výkazů u školských příspěvkových organizací (smlouva č. 2005/0272/OIT/DSM) - celkem 9 tis.Kč 
25. SENTINET s.r.o. - servisní smlouva, upgrade a update SW - údržba a podpora SW eAukce - PROe.biz PARK - elektronické aukce  (smlouva č. 2006/0726/OIT/DSM) - celkem 5 tis.Kč 
26. SW602 - rozvoj form 602, služby spojené s údržbou a podporou SW pro tvorbu podpůrných inteligentních formulářů pro zaměstnance KÚOK (formuláře typu dovolenka, služební cesty, apod.) - celkem 150 tis.Kč 
27. SW602 - servisní smlouva, upgrade a update SW FormServer pro tvorbu podpůrných inteligentních formulářů pro zaměstnance KÚOK - formuláře typu dovolenka, služební cesty apod. (smlouva č. 2005/1231/OIT/DSM) - celkem 48 tis. Kč 
28. TESCOSW - servisní smlouva, upgrade a update SW pro evidenci pasportizace budov KÚOK (smlouva č. 2007/0434/OIT/DSM) - celkem 202 tis.Kč 
29. T-MAPY - servisní smlouva, upgrade a update SW pro evidenci nestátních zdravotních organizací (smlouva č. 2007/2190/OIT/DSM) - celkem 31 tis. Kč 
30. URS - aktualizace SW KROS, upgrade a update SW pro výpočty rozpočtů na investiční stavební záměry Olomouckého kraje (objednávka) - celkem 11 tis.Kč 
31. YAMACO - servisní smlouva, upgrade a update SW pro evidenci dopravních agend KÚOK (smlouva č. 2003/1108/OIT/DSM) - celkem 52 tis. Kč 
32. IMPROMAT CZ s.r.o. - multifunkce - tisky nad limity (odhad podle dnešních dat a nových limitů), ve smlouvě se společností jsou stanoveny limity tisků, které jsou pokryty v rámci smlouvy. Pokud tyto limity překročíme, platíme za každou vytištěnou stránku částku, která pokrývá zvýšenou spotřebu tonerů a náklady opotřebení stroje (smlouva č. 2011/02888/OIT/DSM) - celkem 
1100 tis.Kč 
</t>
  </si>
  <si>
    <t xml:space="preserve">33. INVEA-TECH a.s. - podpora FlowMon s nárokem na upgrade sondy pro virtuální prostředí, pro sledování provozu a zatížení sítě používáme zařízení FlowMon, které dokáže odhalovat výkyvy a nestandardní chování počítačů. S pokračující virtualizací prostředků sítě je nutná nová verze, která s těmito virtuálními zařízeními umí pracovat - celkem 650 tis.Kč 
34. MERIT GROUP a.s. - DATACENTRUM, v DATACENTRU MORAVIA máme umístěné servery pro přístup našich příspěvkových organizací k poskytované SSL. Důvodem umístění je přístup k páteřní optické trase a tudíž komfortnější přístup pro uživatele (smlouva č. 2010/00151/OIT/DSM) - celkem 283 tis.Kč 
35. Symantec mail security SMS Gateway 2 roky - se šířením stále dokonalejších způsobů napadení počítačů a sítí je nutná dokonalejší ochrana proti "škůdcům" šířeným elektronickou poštou - celkem 50 tis.Kč 
36. SODAT - Optim Access, AuditPro "audit pro" pro 700 PC cca 750 000 by šlo na položku 6111, aktualizace a podpora softwaru pro sledování vytíženosti pracovních stanic - celkem 462 tis.Kč 
37. Symantec licence 2012-2013 - se šířením stále dokonalejších způsobů napadení počítačů a sítí je nutná dokonalejší ochrana pracovních stanic před útoky z internetu viry škodlivýmsoftwarem - celkem 600 tis.Kč 
38. Podpora CISCO - podpora CISCO produktů - přepínače, routery, jejich vzdálená správa a odstranění poruch - celkem 
300 tis.Kč </t>
  </si>
  <si>
    <r>
      <rPr>
        <b/>
        <sz val="11"/>
        <rFont val="Arial CE"/>
        <charset val="238"/>
      </rPr>
      <t xml:space="preserve">9. Společná tvorba propagačních materiálů se sousedními kraji (300 tis. Kč)  </t>
    </r>
    <r>
      <rPr>
        <sz val="11"/>
        <rFont val="Arial CE"/>
        <charset val="238"/>
      </rPr>
      <t xml:space="preserve">
- pokračování spolupráce mezi moravskými kraji (OK, ZK, MSK a JMK) z let 2005 - 2011. V roce 2012 je nositelem projektu Olomoucký kraj. 
 Veškeré navržené aktivity vychází z Akčního plánu Marketingové studie cestovního ruchu Olomouckého kraje na období 2011-2013 (výhled do roku 2016) a z Akčního plánu PRCR na období 2011-2013 (výhled do roku 2016).  </t>
    </r>
  </si>
  <si>
    <r>
      <rPr>
        <b/>
        <sz val="11"/>
        <rFont val="Arial CE"/>
        <charset val="238"/>
      </rPr>
      <t>1. Seminář k POV 2012 pro obce Olomouckého kraje  - 30 tis.Kč</t>
    </r>
    <r>
      <rPr>
        <sz val="11"/>
        <rFont val="Arial CE"/>
        <charset val="238"/>
      </rPr>
      <t xml:space="preserve"> Jedná se o výdaje na zajištění občerstvení na seminářích k POV 2012 pro celkem cca 300 účastníků (5 okresů kraje).     
</t>
    </r>
    <r>
      <rPr>
        <b/>
        <sz val="11"/>
        <rFont val="Arial CE"/>
        <charset val="238"/>
      </rPr>
      <t xml:space="preserve">2. Jednání v oblasti snižování nezaměstanosti v OK -  25 tis.Kč  </t>
    </r>
    <r>
      <rPr>
        <sz val="11"/>
        <rFont val="Arial CE"/>
        <charset val="238"/>
      </rPr>
      <t xml:space="preserve">      
Zajištění občerstvení na jednáních u kulatého stolu v Jeseníku, panelových diskusích v nezaměstnaností postižených částech  Olomouckého kraje. Zajištění občerstvení na semináře k podpoře sociálního podnikání a Projektuspolečenské odpovědnosti.     
</t>
    </r>
  </si>
  <si>
    <t xml:space="preserve">Položka zahrnuje nákup výrobků a služeb k pohoštění KÚOK
</t>
  </si>
  <si>
    <t>Položka zahrnuje ostatní zálohy na neinvestiční výdaje. Patří sem např. i trvalé jistiny, např. na karty CCS</t>
  </si>
  <si>
    <t xml:space="preserve">Úhrady příspěvků za členství v komoře auditorů
</t>
  </si>
  <si>
    <t xml:space="preserve">Nákup věcných předmětů poskytovaných formou daru - květiny při životních jubileích, smuteční věnce při úmrtí, květinové dary při úmrtí, věcné dary za účelem zahraničních pracovních cest.
</t>
  </si>
  <si>
    <t xml:space="preserve">Moravskoslezský kraj, Ostrava - Smlouva o poskytnutí dotace (provoz videokonference).
</t>
  </si>
  <si>
    <t xml:space="preserve">Položka zahrnuje nákup cenin - kolků pro potřeby odborů KÚOK  
</t>
  </si>
  <si>
    <t xml:space="preserve">Nákup dálničních známek pro vozidla KÚOK, poplatky za vklad práva do katastru nemovitostí pro OMP
</t>
  </si>
  <si>
    <t xml:space="preserve">Program obnovy venkova (POV) 2012 dotace obcím - dle akčního plánu Koncepce zemědělské politiky a rozvoje venkova        
Při návrhu výše alokace do POV 2012 jsme vycházeli ze schválené Koncepce zemědělské politiky a rozvoje venkovaOK pro léta 2006 -  2012, která byla schválena usnesením ROK č. UR/25/73/2005 ze dne 24. 11. 2005. Dále z analýzy žádostí podávaných obcemi do POV za poslední tři roky. Objem požadavků v žádostech je každoročně více jak 90 mil.Kč.                                                                
</t>
  </si>
  <si>
    <r>
      <rPr>
        <b/>
        <sz val="11"/>
        <rFont val="Arial CE"/>
        <charset val="238"/>
      </rPr>
      <t xml:space="preserve">1. Smlouva  - 11 945 tis. Kč </t>
    </r>
    <r>
      <rPr>
        <sz val="11"/>
        <rFont val="Arial CE"/>
        <charset val="238"/>
      </rPr>
      <t xml:space="preserve">
Poskytování služeb v oblasti bezpečnosti a ochrany zdraví při práci a požární ochrany pro školské příspěvkové organizace zřizované Olomouckým krajem. Smlouva je uzavřena na dobu neurčitou a měsíční paušální částkačiní 995 347 Kč. 
</t>
    </r>
    <r>
      <rPr>
        <b/>
        <sz val="11"/>
        <rFont val="Arial CE"/>
        <charset val="238"/>
      </rPr>
      <t xml:space="preserve">2. Administrativní služby -170 tis. Kč </t>
    </r>
    <r>
      <rPr>
        <sz val="11"/>
        <rFont val="Arial CE"/>
        <charset val="238"/>
      </rPr>
      <t xml:space="preserve">
Zahrnuje kopírovací služby u rozsáhlých materiálů, zpracování výroční zprávy, distribuce "Sborníků oborů vzdělávání středních škol a vyšších odborných škol Olomouckého kraje pro školní rok 2011/2012", zpracování analýz v oblasti školství, vydání elektronické  publikace "Příklady dobré praxe vzdělávání žáků v oblasti interkulturního dialogu za rok 2011". 
</t>
    </r>
    <r>
      <rPr>
        <b/>
        <sz val="11"/>
        <rFont val="Arial CE"/>
        <charset val="238"/>
      </rPr>
      <t xml:space="preserve">3. Konkurzní řízení a hodnocení ředitelů - 290 tis. Kč </t>
    </r>
    <r>
      <rPr>
        <sz val="11"/>
        <rFont val="Arial CE"/>
        <charset val="238"/>
      </rPr>
      <t xml:space="preserve">
Zahrnuje platby faktur za zveřejněné inzeráty v tisku týkající se vyhlášení konkurzních řízení na funkce ředitelů škol a školských zařízení a platby faktur za zrealizované psychologické testy uchazečů konkurzních řízení. Konkurzní řízení jsou realizovány v souladu se zákonem č. 561/2004 Sb., o předškolním, základním, středním, vyšším odborném a jiném vzdělávání a vyhláškou č. 54/2005 Sb., o náležitostech konkurzního řízení a konkurzních komisích. 
</t>
    </r>
    <r>
      <rPr>
        <b/>
        <sz val="11"/>
        <rFont val="Arial CE"/>
        <charset val="238"/>
      </rPr>
      <t xml:space="preserve">4. Dlouhodobý záměr vzdělávání a rozvoje vzdělávací soustavy Olomouckého kraje - 120 tis. Kč </t>
    </r>
    <r>
      <rPr>
        <sz val="11"/>
        <rFont val="Arial CE"/>
        <charset val="238"/>
      </rPr>
      <t xml:space="preserve">
Finanční prostředky na zpracování Dlouhodobého záměru vzdělávání a rozvoje vzdělávací soustavy Olomouckého kraje, který je  zpracováván na základě zákona č. 561/2004 Sb., o předškolním, základním, středním, vyšším odborném a jiném vzdělávání vždy jednou za čtyři roky. Zastupitelstvu Olomouckého kraje bude předloženo v první polovině roku 2012. 
</t>
    </r>
    <r>
      <rPr>
        <b/>
        <sz val="11"/>
        <rFont val="Arial CE"/>
        <charset val="238"/>
      </rPr>
      <t xml:space="preserve">5. Periodické hodnocení ředitelů škol a školských zařízení - 120 tis. Kč </t>
    </r>
    <r>
      <rPr>
        <sz val="11"/>
        <rFont val="Arial CE"/>
        <charset val="238"/>
      </rPr>
      <t xml:space="preserve">
Finanční prostředky na zajištění testování vrámci periodického hodnocení ředitelů škol a školských zařízení zřizovaných Olomouckým krajem.  
</t>
    </r>
    <r>
      <rPr>
        <b/>
        <sz val="11"/>
        <rFont val="Arial CE"/>
        <charset val="238"/>
      </rPr>
      <t xml:space="preserve">6. Pedagog Olomouckého kraje 2012 - 100 tis. Kč </t>
    </r>
    <r>
      <rPr>
        <sz val="11"/>
        <rFont val="Arial CE"/>
        <charset val="238"/>
      </rPr>
      <t xml:space="preserve">
Hlavním cílem akce je ocenit vybrané pedagogy středních škol, vyšších odborných škol, speciálních škol a základních uměleckých škol se sídlem v Olomouckém kraji za jejich náročnou a záslužnou práci a zároveň vhodnou formou připomenout široké veřejnosti významnou úlohu učitelů v naší společnosti.  
</t>
    </r>
    <r>
      <rPr>
        <b/>
        <sz val="11"/>
        <rFont val="Arial CE"/>
        <charset val="238"/>
      </rPr>
      <t xml:space="preserve">7. Zastupitelstvo mládeže Olomouckého kraje (dále jen ZMOK) - 30 tis. Kč </t>
    </r>
    <r>
      <rPr>
        <sz val="11"/>
        <rFont val="Arial CE"/>
        <charset val="238"/>
      </rPr>
      <t xml:space="preserve">
Výdaje spojené s provozem www stránek ZMOK www.zmok.cz (hosting, doména) a na aktivity související s činností a posláním ZMOK. Na nákup služeb a hrazení výdajů, např. výdaje související s organizací, spoluorganizací akcí zaměřených na aktivity s činností ZMOK, účast v projektech tematicky zaměřených na mládež a s tím související tématiku. 
</t>
    </r>
    <r>
      <rPr>
        <b/>
        <sz val="11"/>
        <rFont val="Arial CE"/>
        <charset val="238"/>
      </rPr>
      <t xml:space="preserve">8. Vyhlášení nejlepších sportovců Olomouckého kraje za rok 2011 - 400 tis. Kč </t>
    </r>
    <r>
      <rPr>
        <sz val="11"/>
        <rFont val="Arial CE"/>
        <charset val="238"/>
      </rPr>
      <t xml:space="preserve">
Jedná se o finanční částku na akci Sportovec Olomouckého kraje, která má v našem kraji již několikaletou tradici. 
</t>
    </r>
    <r>
      <rPr>
        <b/>
        <sz val="11"/>
        <rFont val="Arial CE"/>
        <charset val="238"/>
      </rPr>
      <t xml:space="preserve">9. Podpora programů škol a školských zařízení, které jsou zaměřeny na DVPP v oblasti primární prevence sociálně - patologických jevů - 250 tis. Kč </t>
    </r>
    <r>
      <rPr>
        <sz val="11"/>
        <rFont val="Arial CE"/>
        <charset val="238"/>
      </rPr>
      <t xml:space="preserve">
Zahrnje finanční příspěvekk zabezpečení oblasti tzv. specifické primární prevence škol a školských zařízení, nestátních neziskových organizací a další vzdělávání pedagogických pracovníků vykonávajících funkci školního metodika prevence. Vyplývá ze závazné celonárodní „Strategie primární prevence sociálně patologických jevů MŠMT na roky 2010–2012 a z korespondující strategie Olomouckého kraje na léta 2011-2014. 
</t>
    </r>
    <r>
      <rPr>
        <b/>
        <sz val="11"/>
        <rFont val="Arial CE"/>
        <charset val="238"/>
      </rPr>
      <t xml:space="preserve">10. Hry V. zimní olympiády dětí a mládeže 2012 - 475 tis. Kč </t>
    </r>
    <r>
      <rPr>
        <sz val="11"/>
        <rFont val="Arial CE"/>
        <charset val="238"/>
      </rPr>
      <t xml:space="preserve">
Jedná se o pokračování cyklu Olympiád dětí a mládeže - letní verze. V termínu od 29.1. - 3. 2. 2012 se uskuteční v Moravskoslezském kraji již pátá zimní olympiáda za účasti 14 krajů. Zahrnuje prostředky na úhradu komplexních organizačních nákladů pro účastníky, dopravu účastníků, odměnutrenérům a náklady spojené s přijetím medailistů hejtmanem Olomouckého kraje. Ve srovnání se "letní" verzi se u "zimní" verze jedná o počet účastníků za Olomoucký kraj 94. 
</t>
    </r>
    <r>
      <rPr>
        <sz val="11"/>
        <rFont val="Arial CE"/>
        <charset val="238"/>
      </rPr>
      <t xml:space="preserve">
</t>
    </r>
  </si>
  <si>
    <r>
      <rPr>
        <b/>
        <sz val="11"/>
        <rFont val="Arial CE"/>
        <charset val="238"/>
      </rPr>
      <t xml:space="preserve">11. Organizace soutěží a přehlídek - 200 tis. Kč </t>
    </r>
    <r>
      <rPr>
        <sz val="11"/>
        <rFont val="Arial CE"/>
        <charset val="238"/>
      </rPr>
      <t xml:space="preserve">
Finanční prostředky slouží k dofinancování okresních a krajských kol soutěží a přehlídek vyhlašovaných MŠMT realizovaných pověřenými organizacemi v jednotlivých okresech Olomouckého kraje a soutěží, které mají v Olomouckém kraji již dlouholetou tradici (např. 8. ročník soutěže "O Priessnitzův dortík", "Nejmilejší koncert", 7. ročník soutěže "AUTOMOBILEUM", "Sportovní hry v lehké atletice a míčové hry" realizované dětskými domovy, XXIV. ročník štafetového běhu "Po stopách Jana Opletala a Memoriál Jiřího Vaci". 
                 </t>
    </r>
  </si>
  <si>
    <r>
      <rPr>
        <b/>
        <sz val="11"/>
        <rFont val="Arial CE"/>
        <charset val="238"/>
      </rPr>
      <t xml:space="preserve">1. Zastupitelstvo mládeže Olomouckého kraje -17 tis. Kč </t>
    </r>
    <r>
      <rPr>
        <sz val="11"/>
        <rFont val="Arial CE"/>
        <charset val="238"/>
      </rPr>
      <t xml:space="preserve">
Zahrnuje finanční prostředky na úhradu nákladů spojených se zasedáním Rady a Zastupitelstva mládeže Olomouckého kraje. 
</t>
    </r>
    <r>
      <rPr>
        <sz val="11"/>
        <rFont val="Arial CE"/>
        <charset val="238"/>
      </rPr>
      <t xml:space="preserve">
</t>
    </r>
  </si>
  <si>
    <r>
      <rPr>
        <b/>
        <sz val="11"/>
        <rFont val="Arial CE"/>
        <charset val="238"/>
      </rPr>
      <t xml:space="preserve">2. Hry V. zimní olympiády dětí a mládeže 2012  - 25 tis. Kč </t>
    </r>
    <r>
      <rPr>
        <sz val="11"/>
        <rFont val="Arial CE"/>
        <charset val="238"/>
      </rPr>
      <t xml:space="preserve">
Zahrnuje prostředky na úhradu nákladů na pohoštění účastníků Her V. zimní olympiády dětí a mládeže 2012, kteří se zúčastní vyhodnocení akce v sídle Olomouckého kraje. Ve srovnání se "letní" verzi se u "zimní" verze jedná o počet účastníků za Olomoucký kraj 94.  
</t>
    </r>
    <r>
      <rPr>
        <b/>
        <sz val="11"/>
        <rFont val="Arial CE"/>
        <charset val="238"/>
      </rPr>
      <t xml:space="preserve">3. Porady ředitelů škol a školských zařízení - 38 tis. Kč </t>
    </r>
    <r>
      <rPr>
        <sz val="11"/>
        <rFont val="Arial CE"/>
        <charset val="238"/>
      </rPr>
      <t xml:space="preserve">
Zahrnuje finanční prostředky na úhradu nákladů na pohoštění spojených s konáním pravidelných porad s řediteli škol a školských zařízení zřizovaných Olomouckým krajem. </t>
    </r>
  </si>
  <si>
    <r>
      <rPr>
        <b/>
        <sz val="11"/>
        <rFont val="Arial CE"/>
        <charset val="238"/>
      </rPr>
      <t>Dotační program "Podpora aktivit zaměřených na sociální začleňování pro rok 2012" - oblast prevence kriminality</t>
    </r>
    <r>
      <rPr>
        <sz val="11"/>
        <rFont val="Arial CE"/>
        <charset val="238"/>
      </rPr>
      <t xml:space="preserve">
Uvedená částka vychází ze schválených střednědobých dokumentů Olomouckého kraje, které v plánovaných aktivitách navrhují podpořit rozvoj preventivních aktivit na území kraje prostřednictvím dotačního programu kraje, jako hlavního pilíře funkčního modelu prevence kriminality v kraji. („Akční plán realizace prevence kriminality na území Olomouckého kraje na období 2009 – 2011“ schválen usnesením ZOK ze dne 24. 9. 2008 č. UZ/24/38/2008. Jedná se o aktivity v samostatné působnosti. 
</t>
    </r>
  </si>
  <si>
    <t>§ 4349, POL 5229 - Ostatní neinv.transfery nezisk.a podob.organizacím, UZ 407</t>
  </si>
  <si>
    <t>§ 4349, POL 5229 - Ostatní neinv.transfery nezisk.a podob.organizacím, UZ 408</t>
  </si>
  <si>
    <r>
      <rPr>
        <b/>
        <sz val="11"/>
        <rFont val="Arial CE"/>
        <charset val="238"/>
      </rPr>
      <t>Dotační titul  "Podpora aktivit zaměřených na sociální začleňování pro rok 2012"  - oblast integrace příslušníků romských komunit</t>
    </r>
    <r>
      <rPr>
        <sz val="11"/>
        <rFont val="Arial CE"/>
        <charset val="238"/>
      </rPr>
      <t xml:space="preserve">
Uvedená částka vychází ze schválených střednědobých dokumentů Olomouckého kraje, které v plánovaných aktivitách navrhují podpořit rozvoj preventivních aktivit na území kraje prostřednictvím dotačního programu kraje, jako hlavního pilíře funkčního modelu prevence kriminality v kraji. („Akční plán realizace prevence kriminality na území Olomouckého kraje na období 2009 – 2011“ schválen usnesením ZOK ze dne 24. 9. 2008 č. UZ/24/38/2008. Jedná se o aktivity v samostatné působnosti.  
</t>
    </r>
  </si>
  <si>
    <t>§ 4349, POL 5229 - Ostatní neinv.transfery nezisk.a podob.organizacím, UZ 414</t>
  </si>
  <si>
    <r>
      <rPr>
        <b/>
        <sz val="11"/>
        <rFont val="Arial CE"/>
        <charset val="238"/>
      </rPr>
      <t>Dotační program "Podpora aktivit zaměřených na sociální začleňování pro rok 2011" - oblast podpory terénních a ambulantních služeb</t>
    </r>
    <r>
      <rPr>
        <sz val="11"/>
        <rFont val="Arial CE"/>
        <charset val="238"/>
      </rPr>
      <t xml:space="preserve">  
Podpora terénních a ambulantních sociálních služeb vychází z Krajského plánu vyrovnávání příležitostí pro osoby se zdravotním postižením v Olomouckém kraji a ze Střednědobého plánu rozvoje sociálních služeb v Olomouckém kraji pro roky 2011-2014, které určují hlavní směr, kterým by se měly sociální služby ubírat. Jejich cílem je především zajištění dostupnosti a zvyšování kvality sociálních služeb na území Olomouckého kraje. Jedná se o aktivity v samostatné působnosti 
</t>
    </r>
  </si>
  <si>
    <r>
      <rPr>
        <b/>
        <sz val="11"/>
        <rFont val="Arial CE"/>
        <charset val="238"/>
      </rPr>
      <t xml:space="preserve">5. Rozloučení s létem v ZOO- 50 tis. Kč </t>
    </r>
    <r>
      <rPr>
        <sz val="11"/>
        <rFont val="Arial CE"/>
        <charset val="238"/>
      </rPr>
      <t xml:space="preserve">
Jedná se o akci určenou pro příspěvkové organizace Olomouckého kraje v sociální oblasti. Zúčastní se jí uživatelé sociálních služeb s různými handicapy. Akce je spojena s hudebním a kulturním vystoupením uživatelů sociálních služeb a prodejem vlastnoručně  zhotovených výrobků. Cílem akce je přispět k integraci zdravotně postižených do "zdravé" společnosti. Akce proběhne v září 2012 v areálu ZOO Olomouc pod záštitou hejtmana OK. 
</t>
    </r>
    <r>
      <rPr>
        <b/>
        <sz val="11"/>
        <rFont val="Arial CE"/>
        <charset val="238"/>
      </rPr>
      <t xml:space="preserve">
6. Smlouva o dílo-naposkytování služeb v olasti bezpečnosti a ochrany zdraví při práci, požární ochrany a ochrany životního prostředí pro PO v sociální oblasti - 1 724 tis. Kč </t>
    </r>
    <r>
      <rPr>
        <sz val="11"/>
        <rFont val="Arial CE"/>
        <charset val="238"/>
      </rPr>
      <t xml:space="preserve">
Smlouvao dílo - na poskytování služeb v oblasti bezpečnosti a ochrany zdraví při práci, požární ochrany a ochrany životního prostředí pro PO v sociální oblasti zřizované Olonouckým krajem - uzavřená mezi Olomouckým krajem a Vzdělávacím institutem, spol. sr. o., se sídlem Vápenice 2980/7, 796 01.  Jedná se o zajištění úkolů a povinností v oblasti bezpečnosti a ochrany zdraví při práci, požární ochrany a ochrany životního prostředí daných platnými právními předpisy. Stanovená částka pro zajištění úkolů v 1. pololetí roku 2012 činí 1 724 tis. Kč, dle účinnosti uzavřené smlouvy do 30. 6. 2012. 
</t>
    </r>
    <r>
      <rPr>
        <b/>
        <sz val="11"/>
        <rFont val="Arial CE"/>
        <charset val="238"/>
      </rPr>
      <t xml:space="preserve">7. Smlouva o dílo-naposkytování služeb v olasti bezpečnosti a ochrany zdraví při práci, požární ochrany a ochrany životního prostředí pro PO v sociální oblasti - 1 724 tis. Kč </t>
    </r>
    <r>
      <rPr>
        <sz val="11"/>
        <rFont val="Arial CE"/>
        <charset val="238"/>
      </rPr>
      <t xml:space="preserve">
Zajištění poskytování služeb v oblasti bezpečnosti a ochrany zdraví při práci, požární ochrany a ochrany životního prostředí pro PO v sociální oblasti zřizované Olomockým krajem ve 2. pololetí roku 2012 v předpokládané výši 1 724 tis. Kč, které určují dané platné právní předpisy.  </t>
    </r>
  </si>
  <si>
    <t xml:space="preserve">Program na podporu začínajících včelařů na území Olomouckého kraje </t>
  </si>
  <si>
    <t xml:space="preserve">Náklady spojené s výběrovými řízeními - centrální adresa, vícetisky apod.  
</t>
  </si>
  <si>
    <t xml:space="preserve">Příspěvek na financování vzdělávání zdravotnických pracovníků, fyzickým osobám 700 tis. Kč, právnickým 1 300 tis. Kč. 
</t>
  </si>
  <si>
    <t xml:space="preserve">Výdaje na pohoštění (ZOK-Hynaisova, ROK, výborů a vybraných komisí + režie vlastních návštěv včetně zahraničních, občerstvení na různé akce Olomouckého kraje, výjezdní zasedání ROK apod.) 
</t>
  </si>
  <si>
    <r>
      <t xml:space="preserve">Zahrnuje výdaje na tyto činnosti: 
</t>
    </r>
    <r>
      <rPr>
        <b/>
        <sz val="11"/>
        <rFont val="Arial CE"/>
        <charset val="238"/>
      </rPr>
      <t xml:space="preserve">1. Prezentace OK v publikacích, časopisech, médiích (260 tis. Kč) </t>
    </r>
    <r>
      <rPr>
        <sz val="11"/>
        <rFont val="Arial CE"/>
        <charset val="238"/>
      </rPr>
      <t xml:space="preserve">
- Prezentace o turistických atraktivitách kraje a obou turistických regionů v turistických katalozích, časopisech zaměřených na cestovní ruch i v denním tisku. </t>
    </r>
  </si>
  <si>
    <r>
      <rPr>
        <b/>
        <sz val="11"/>
        <rFont val="Arial CE"/>
        <charset val="238"/>
      </rPr>
      <t>1.Poskytování energetických služeb se zaručeným výsledkem - projekty financované metodou EPC - servis - 252 tis.Kč</t>
    </r>
    <r>
      <rPr>
        <sz val="11"/>
        <rFont val="Arial CE"/>
        <charset val="238"/>
      </rPr>
      <t xml:space="preserve"> Schváleno usnesením ROK č. UR/70/46/2007 ze dne 4. 10. 2007. Dne 21. 10. 2007 byly uzavřeny 3 smlouvy o poskytování energetických služeb, včetně dodávky souboru opatření a stavebních prací k realizaci energ.úspor, které přechází do roku 2012. Finanční závazky vyplývající z nákupu servisních služeb pro rok 2012 jsou realizovány formou čtvrtletních splátek.                                                                
ÚSP Nové Zámky - Mladeč, S-2007/2475/OSR -102 tis.Kč       -
ZŠ + DD Zábřeh, S-2007/2476/OSR - 70 tis.Kč       
SOŠ a DM Olomouc, S-2007/2477/OSR - 80 tis.Kč  
</t>
    </r>
    <r>
      <rPr>
        <b/>
        <sz val="11"/>
        <rFont val="Arial CE"/>
        <charset val="238"/>
      </rPr>
      <t xml:space="preserve">2.Poskytování energetických služeb se zaručeným výsledkem -projekty financované metodou EPC - víceúspory - 350 tis.Kč   </t>
    </r>
    <r>
      <rPr>
        <sz val="11"/>
        <rFont val="Arial CE"/>
        <charset val="238"/>
      </rPr>
      <t xml:space="preserve">     
Schváleno usnesením ROK č. UR/70/46/2007 ze dne 4. 10. 2007. Dne 21. 10. 2007 byly uzavřeny 3 smlouvy o poskytování energetických služeb, včetně dodávky souboru opatření a stavebních pracík realizaci energ.úspor, které přechází do roku 2012. Finanční závazky  vyplývající z dosažení víceúspor z energeticky úsporných opatření v roce 2011. Poskytovatel má dle smlouvy finanční nárok ve výši 50%  z finančního vyjádření víceúspory.                                                                 
</t>
    </r>
    <r>
      <rPr>
        <b/>
        <sz val="11"/>
        <rFont val="Arial CE"/>
        <charset val="238"/>
      </rPr>
      <t xml:space="preserve">3.Centrální nákup elektřiny a plynu pro PO OK na rok 2013 - 1 000 tis.Kč   </t>
    </r>
    <r>
      <rPr>
        <sz val="11"/>
        <rFont val="Arial CE"/>
        <charset val="238"/>
      </rPr>
      <t xml:space="preserve">     
Na základě úspor dosažených při realizaci centrálních nákupů energií v roce 2011 lze předpokládat, že Rada Olomouckého kraje schválí provedení centrálních nákupů pro rok 2013. OPžadovaná částka je určenan na administarci nadlimitní veřejné zakázky.                 
</t>
    </r>
  </si>
  <si>
    <t xml:space="preserve">Příspěvek Olomouckého kraje obcím na území Olomouckého kraje na podporu výstavby a oprav cyklostezek. Projekt musí být schválen v ZOK - program podpory probíhá od roku 2004. V roce 2008 kraj neposkytl žádný příspěvek na cyklostezku - obce čerpaly dotaci v rámci ROP. V roce 2009 byl příspěvek rozpočtován ve výši 8 435 tis. Kč, pro rok 2010 byl příspěvek rozpočtován ve výši 6 000 tis. Kč a pro rok 2011 byl rozpočtován ve výši 4 000 tis. Kč ( zvýšen byl na částku 6 403 tis. Kč na úkor příspěvku na bezpečnostní prvky). Požadavek obcí na rok 2011 činil 27 142 tis. Kč. Návrh příspěvku na projekt podpory výstavby a oprav  cyklostezek na rok 2012 je ve výši 5 500 tis. Kč. Usnesením ZOK č. UZ/20/17/2011 ze dne 24.6.2011 bylo schváleno poskytnutí příspěvku Mikroregionu Hranicko na výstavbu úseku  Cyklostezky Bečva ve výši 2 000 tis. Kč v roce 2012. 
</t>
  </si>
  <si>
    <t xml:space="preserve">Úhrada prokazatelné ztráty - drážní dopravci ČD a.s. - návrh rozpočtu na rok 2012 ve výši 396 464 tis. Kč a úhrada prokazatelné ztráty Veolia TM - Železnice Desná - návrh rozpočtu ve výši 17 551 tis. Kč. Úhrada prokazatelné ztráty při zabezpečování základní dopravní obslužnosti v drážní osobní dopravě - podle zákona č. 266/1994 Sb., ve znění pozdějších předpisů, v souladu s vyhláškou č. 241/2005 Sb., o prokazatelné ztrátě ve veřejné drážní osobní dopravě. Úhrada dopravci ČD a.s. pro rok 2012 - vychází  z odsouhlasené částky roku 2011 ve výši 371 254 tis. Kč, ROK odsouhlasilo částku navýšení o 25 210 tis. Kč, toto navýšení bylo zdůvodněno změnou sazby DPH, nárůstem nákladových vstupů - především ceny energií, odpisů a opravy. 
Dopravce VeoliaTransport Morava a.s. - odhadnuta částka pro rok 2012 ve výši 17 551 tis. Kč, přičemž v roce 2011 byla ve výši 17  365 tis.Kč. V nepatrném navýšení je zohledněna změna sazby DPH a vstupních energií.   
</t>
  </si>
  <si>
    <t>rozdíl</t>
  </si>
  <si>
    <t>9=6-8</t>
  </si>
  <si>
    <r>
      <t xml:space="preserve">2. </t>
    </r>
    <r>
      <rPr>
        <b/>
        <sz val="11"/>
        <rFont val="Arial CE"/>
        <charset val="238"/>
      </rPr>
      <t xml:space="preserve">Výstavy domácí i zahraniční, prezentace turistické (200 tis. Kč) </t>
    </r>
    <r>
      <rPr>
        <sz val="11"/>
        <rFont val="Arial CE"/>
        <charset val="238"/>
      </rPr>
      <t xml:space="preserve">
- nabídky kraje ve spolupráci s dalšími subjekty  
- v roce 2012 budou náklady na veletrhy (pronájem prostor a sektorů vč. grafického zpracování, technické přípojky …) hrazeny z projektu "Marketingové aktivity Olomouckého kraje". Nad rámec veletrhů z projektu je třeba zajistit další aktivity, které vychází z nabídek ostatních subjektů CR, např. statutárního města Olomouc (v r. 2011 společná prezentace ve Vídni aBratislavě) a rozhodnutí vedení, či pana hejtmana. Dále se jedná také o zabezpečení akcí ve spolupráci s moravskými kraji v rámci projektu "Významné turistické akce a cíle východní části České republiky" (do jehož realizace jsme zapojeni - č. UR/47/53/2010) v důležitých zdrojových trzích - ČR, Slovensko, Polsko, Německo, Rakousko, Itálie, východní trhy apod.  
3.</t>
    </r>
    <r>
      <rPr>
        <b/>
        <sz val="11"/>
        <rFont val="Arial CE"/>
        <charset val="238"/>
      </rPr>
      <t xml:space="preserve"> Zhotovení nových propagačních materiálů OK (100 tis. Kč) </t>
    </r>
    <r>
      <rPr>
        <sz val="11"/>
        <rFont val="Arial CE"/>
        <charset val="238"/>
      </rPr>
      <t xml:space="preserve">
- zhotovení nového katalogu naučných stezek kraje včetně jeho provedeníformou CD, pohlednice Olomouckého kraje s turistickou tématikou. 
</t>
    </r>
    <r>
      <rPr>
        <b/>
        <sz val="11"/>
        <rFont val="Arial CE"/>
        <charset val="238"/>
      </rPr>
      <t xml:space="preserve">4. Zajištění provozu Turistického informačního portálu Olomouckého kraje - provozní a obsahový servis ( 1.500 tis. Kč) </t>
    </r>
    <r>
      <rPr>
        <sz val="11"/>
        <rFont val="Arial CE"/>
        <charset val="238"/>
      </rPr>
      <t xml:space="preserve">
- z této částky je určeno 860 tis. Kč na sdružení cestovního ruchu (J-SCR:430 tis. Kč a SM-SCR:430 tis. Kč), která budou provádět obsahovou správu portálu a 640 tis.Kč na technickou správu portálu (navržená částka za technickou správu portálu vychází z cenové kalkulace zpracované společností WINTERNET s.r.o., která realizovala projekt "Rozšíření aplikací turistického portálu Olomouckého kraje").  
5</t>
    </r>
    <r>
      <rPr>
        <b/>
        <sz val="11"/>
        <rFont val="Arial CE"/>
        <charset val="238"/>
      </rPr>
      <t xml:space="preserve">. Rozvoj Turistického informačního portálu Olomouckého kraje (260 tis. Kč) </t>
    </r>
    <r>
      <rPr>
        <sz val="11"/>
        <rFont val="Arial CE"/>
        <charset val="238"/>
      </rPr>
      <t xml:space="preserve">
- zajištění technologické aktuálnosti portálu a jeho průběžný rozvoj s ohledemna aktuální vývoj v oblasti internetu (např. nové grafické prvky, flash animace, tag cloud, připojení web. kamer). Uvedená aktivita vychází z Akčního plánu PRCR na období 2011-2013 (výhled do roku 2016) č. UR/39/42/2010, č. UZ/20/42/2011 a dále vychází z cenové kalkulace zpracované společností WINTERNET s.r.o., která realizovala projekt "Rozšíření aplikací turistického portálu Olomouckého kraje". Cílem je, aby portál po ukončení projektu technologicky a vývojově nestagnoval. 
6. </t>
    </r>
    <r>
      <rPr>
        <b/>
        <sz val="11"/>
        <rFont val="Arial CE"/>
        <charset val="238"/>
      </rPr>
      <t xml:space="preserve">Zajištěníprovozu Rezervačního systému Olomouckého kraje - technická podpora systému (215 tis. Kč) </t>
    </r>
    <r>
      <rPr>
        <sz val="11"/>
        <rFont val="Arial CE"/>
        <charset val="238"/>
      </rPr>
      <t xml:space="preserve">
- navržená částka vychází z cenové kalkulace společnosti WINTERNET s.r.o., která vyhrála výběrové řízení na realizaci rezervačního systému Olomouckého kraje. 
7</t>
    </r>
    <r>
      <rPr>
        <b/>
        <sz val="11"/>
        <rFont val="Arial CE"/>
        <charset val="238"/>
      </rPr>
      <t xml:space="preserve">. Zajištění nebo podpora vybraných akcí s perspektivou národního nebo mezinárodního významu v Olomouckém kraji (1.500 tis. Kč) </t>
    </r>
    <r>
      <rPr>
        <sz val="11"/>
        <rFont val="Arial CE"/>
        <charset val="238"/>
      </rPr>
      <t xml:space="preserve">
- každoroční podpora vybraných významných akcí cestovního ruchu v Jeseníkách a na Střední Moravě. V roce 2011 bylo podpořeno 11  nadregionálních akcí v celkové částce 1.380 tis. Kč. 
8</t>
    </r>
    <r>
      <rPr>
        <b/>
        <sz val="11"/>
        <rFont val="Arial CE"/>
        <charset val="238"/>
      </rPr>
      <t xml:space="preserve">.  Seniorské cestování (900 tis. Kč) </t>
    </r>
    <r>
      <rPr>
        <sz val="11"/>
        <rFont val="Arial CE"/>
        <charset val="238"/>
      </rPr>
      <t xml:space="preserve">
- uvedená aktivita na podporu domácího cestovního ruchu úspěšně proběhla v letech 2008, 2010 a 2011. V roce 2011 se uskuteční  celkem cca 35 zájezdů za účasti cca 1600 seniorů. Náklady Olomouckého kraje v roce 2011 činí 846 760,- Kč. Doručujeme tedy navýšení o 50 tis. Kč v souvislosti s plánovanou úpravou DPH. 
</t>
    </r>
  </si>
  <si>
    <t xml:space="preserve">Položka zahrnuje následující údaje: 
2.000 tis. Kč  - členský příspěvek pro sdružení Jeseníky - Sdružení cestovního ruchu na rok 2012.  
1.500 tis. Kč  - členský příspěvek pro sdružení Střední Morava - Sdružení cestovního ruchu na rok 2012.  
 Obě navržené částky vychází z Akčního plánu PRCR na období 2011-2013 (výhled do roku 2016) - č. UR/39/42/2010, č. UZ/20/42/2011.Vazba na "Projekt organizace cestovního ruchu (destinačního managementu) v Olomouckém kraji" (schváleno usnesením ROK č. UR/25/76/2005 a usnesením ZOK č.UZ/7/56/2005).  
</t>
  </si>
  <si>
    <t xml:space="preserve">949 tis. Kč - na základě rozhodnutí ZOK č. UZ/19/8/2011 ze dne 22. 4. 2011 zařazujeme do rozpočtu na rok 2012 příspěvek pro sdružení Střední Morava - Sdružení cestovního ruchu na zajištění kofinancování marketingového projektu "Střední Morava - turistická  destinace II, poznání a pohoda".  </t>
  </si>
  <si>
    <t xml:space="preserve">Oddělení krizového řízení na základě požadavku hejtmana navrhuje nově zařadit příspěvek na dobudování významných pietních míst v  Olomouckém kraje v souladu s §4 zákona č. 122/2004 Sb., o válečných hrobech a pietních místech, kdy krajský úřad vede souhrnnou evidenci válečných hrobů, které jsou v jeho správním obvodu, a koordinuje péči o válečné hroby v rámci kraje. Částka ve výši 1.000 tis. Kč je určena obci Luká, ORG 30100008343,, místní části Javoříčko, 240 tis. Kč ORG 30100008240 obci Nový Malín a 260 tis. Kč obci Tršice-Zákřov ORG 30100008380. 
</t>
  </si>
  <si>
    <t>ROK 8.11.2011</t>
  </si>
  <si>
    <t xml:space="preserve">Limit zaměstnanců KÚOK je  524 pracovních míst,  k 1.1.2012 bude na nově vzniklou příspěvkovou organizaci kraje  delimitováno 5 zaměstnanců ODSH, na MPSV a Úřad práce – krajskou pobočku v Olomouci  celkem 8 zaměstnanců,  na OSR zaniknou  2  pracovní pozice  zřízené na  dobu  určitou.  K 1. 7 2012 vznikne v souvislosti s realizací projektu „ rozvoj služeb 
e-Governmentu v OK“   5 nových pracovních míst. </t>
  </si>
  <si>
    <t xml:space="preserve">Finanční spoluúčast Olomouckého kraje na realizaci projektu "Intenzifikace odděleného sběru a zajištění využití komunálního odpadu včetně jeho obalové složky" v roce 2009. Rada Olomouckého kraje usnesením UR/76/37/2004 schválila účast Olomouckého kraje ve výše uvedeném projektu. Následně usnesením UR/80/6/2004 byla schválena smlouva s firmou EKO-KOM, a.s., o řešení pilotního projektu v roce 2004. Podle textu uzavřené smlouvy má být rozsah plnění pro další roky vždy do 31. 03. následujícího kalendářního roku konkretizován dodatkem ke smlouvě. Projekt byl realizován v letech 2004 - 2009. Celková výše nákladů v roce 2004 tvořených zakoupením sběrových nádob a jejich distribucí obcím, informační kampaně o třídění  a recyklaci komunálních odpadů byla 3, 5 mil. Kč a byla plně hrazena firmou EKO-KOM, a.s. Celková výše nákladů v roce 2005 byla 4,5 mil Kč. Z toho příspěvek firmy EKO-KOM, a.s. byl ve výši 4 mil. Kč. Celková výše nákladů v roce 2006 až 2009 byla shodně 5,2 mil Kč. Z toho příspěvek firmy EKO-KOM, a.s. byl ve výši 4,2 mil. Kč. V roce 2010  byly celkové náklady projektu 4 mil. Kč. Z toho spoluúčast kraje činila 900 tis. Kč. 
Podle informací zástupců firmy EKO-KOM, a.s., je předpoklad, že v roce 2011 budou z její strany na realizaci projektu opětovně poskytnuty finanční prostředky  Vzhledem ke skutečnosti, že  realizace tohoto projektu je pro kraj a zejména obce na území kraje velice  výhodná (doposud bylo pro obce nakoupeno 2 954 kontejnerů na separovaný sběr odpadu), je navrhováno pro rok 2011 spolufinancování projektu ze strany kraje ve výši 700 tis.Kč.  
</t>
  </si>
  <si>
    <r>
      <rPr>
        <b/>
        <sz val="11"/>
        <rFont val="Arial CE"/>
        <charset val="238"/>
      </rPr>
      <t xml:space="preserve">1. Konzultační akce pro pěstouny, obnovení klubu pěstounů - 60 tis. Kč </t>
    </r>
    <r>
      <rPr>
        <sz val="11"/>
        <rFont val="Arial CE"/>
        <charset val="238"/>
      </rPr>
      <t xml:space="preserve">
Krajský úřad je podle § 11 odst. 2 zákona č. 359/1999 Sb., o sociálně-právní ochraně dětí, ve znění pozdějších předpisů, povinen  alespoň jednou v roce zabezpečit konzultace o výkonu pěstounské péče. Konzultací se kromě odborníků na řešení výchovných a sociálních problémů zúčastňují pěstouni, kteří mají trvalý pobyt na území kraje, konzultací se mohou zúčastnit též děti svěřené těmto pěstounům do pěstounské péče a další fyzické osoby, které tvoří s pěstounem domácnost. Jedná se o zajištění jednoho víkendového pobytu a realizaci dalších konzultačních akcí pro pěstouny a jejich děti, které budou probíhat v průběhu roku. Jedná se o aktivity v přenesené působnosti. 
</t>
    </r>
    <r>
      <rPr>
        <b/>
        <sz val="11"/>
        <rFont val="Arial CE"/>
        <charset val="238"/>
      </rPr>
      <t xml:space="preserve">2. Aktivity kraje v samostatné působnosti v oblasti sociálně-právní ochrany dětí - kulturní, sportovní, jiná zájmová a vzdělávací činnost dětí  - 70 tis. Kč </t>
    </r>
    <r>
      <rPr>
        <sz val="11"/>
        <rFont val="Arial CE"/>
        <charset val="238"/>
      </rPr>
      <t xml:space="preserve">
Zajišťování realizace aktivit se zaměřením na sociálně-právní ochranu dětí, a to ve spolupráci s nestátními neziskovými organizacemi a obcemi. Může se jednat o jednodenní i vícedenní aktivity jako jsou tábory a podobně. Jedná se o aktivity v samostatné působnosti.
</t>
    </r>
    <r>
      <rPr>
        <b/>
        <sz val="11"/>
        <rFont val="Arial CE"/>
        <charset val="238"/>
      </rPr>
      <t xml:space="preserve">3. Příprava budoucích pěstounů aosvojitelů - 300 tis. Kč </t>
    </r>
    <r>
      <rPr>
        <sz val="11"/>
        <rFont val="Arial CE"/>
        <charset val="238"/>
      </rPr>
      <t xml:space="preserve">
Krajské úřady dle zákona č. 359/1999 Sb., o sociálně-právní ochraně dětí, ve znění pozdějších předpisů, zajišťují přípravy fyzických osob vhodných stát se osvojiteli nebo pěstouny k přijetí dítěte do rodiny a těmto osobám současně poskytují poradenskou pomoc související s osvojením dítěte nebo svěřením dítěte do pěstounské péče včetně speciální přípravy k přijetí dítěte pěstounem na přechodnou dobu (dále jen přípravy). Náklady představují realizaci 3-4 příprav pro fyzické osoby vhodné stát se osvojiteli a jednu přípravu pro osoby vhodné stát se pěstouny. Jedná se o aktivitu v přenesené působnosti. 
</t>
    </r>
  </si>
  <si>
    <r>
      <rPr>
        <b/>
        <sz val="11"/>
        <rFont val="Arial CE"/>
        <charset val="238"/>
      </rPr>
      <t xml:space="preserve">1. Realizace seminářů pro sociální pracovníky - 45 tis. Kč </t>
    </r>
    <r>
      <rPr>
        <sz val="11"/>
        <rFont val="Arial CE"/>
        <charset val="238"/>
      </rPr>
      <t xml:space="preserve">
Realizace seminářů pro sociální pracovníky obcí (v činnosti sociální práce vedoucí k řešení nepříznivé sociální situace a k sociálnímu začleňování osob). Finanční prostředky budou využity pro realizaci vzdělávacích akcí – předběžná kalkulace na uskutečnění jednoho semináře cca 15.000,- Kč. Vzdělávací akce jsou nezbytné v návaznosti na nové rozdělení kompetencí v oblasti nepojistných sociálních dávek, k nimž došlo v rámci Sociální reformy, a rovněž s ohledem na potřebu sdílení dobré praxe při řešení nepříznivé sociální situace osob. Jedná se o aktivitu v rámci výkonu přenesené působnosti. 
</t>
    </r>
    <r>
      <rPr>
        <b/>
        <sz val="11"/>
        <rFont val="Arial CE"/>
        <charset val="238"/>
      </rPr>
      <t xml:space="preserve">2. Specializovaná lékařská vyšetření pro potřeby posuzování žadatelů o náhradní rodinnou péči - 10 tis. Kč </t>
    </r>
    <r>
      <rPr>
        <sz val="11"/>
        <rFont val="Arial CE"/>
        <charset val="238"/>
      </rPr>
      <t xml:space="preserve">
V souvislosti s odborným posuzováním žadatelů pro účely zprostředkování osvojení a pěstounské péče dle § 27 zákona č. 359/1999 Sb., o sociálně-právní ochraně dětí, ve znění pozdějších předpisů, vyvstává potřeba vyžádání doplňujících specializovaných lékařských  vyšetření k verifikaci údajů vedoucích ke stanovení případných kontraindikací pro zařazení žadatelů do evidence osob vhodných stát se osvojiteli nebo pěstouny. V souladu s ustanovením § 15 odst. 10 zákona č. 48/1997 Sb., o veřejném zdravotním pojištění, ve znění pozdějších předpisů, takto vyžádaná vyjádření hradí orgán, pro který se vyšetření a vyjádření provádí. Při posuzování dětí vyvstává potřeba specializovaných vyšetření souvisejících s jejich zařazením do evidence dětí vhodných k náhradní rodinné péči. Jedná se o  výkon přenesené působnosti. 
</t>
    </r>
    <r>
      <rPr>
        <b/>
        <sz val="11"/>
        <rFont val="Arial CE"/>
        <charset val="238"/>
      </rPr>
      <t xml:space="preserve">3. Realizace seminářů pro sociální pracovníky v oblasti sociálně-právní ochrany dětí - 60 tis. Kč </t>
    </r>
    <r>
      <rPr>
        <sz val="11"/>
        <rFont val="Arial CE"/>
        <charset val="238"/>
      </rPr>
      <t xml:space="preserve">
Realizace seminářů pro sociální pracovníky obecních úřadů obcí s rozšířenou působností v těchto oblastech: sociálně-právní ochrana dětí, oblast domácího násilí, syndrom zanedbávaného a zneužívaného dítěte, náhradní rodinná péče, problematika kurátorů pro mládež a supervize pro sociální pracovníky. Tyto aktivity budou realizovány formou jednodenních nebo vícedenních pracovních setkání. Finanční  prostředky budou použity na financování lektorů a pronájmů místností prostřednictvím fyzických nebo právnických osob, které zajistí realizaci celé vzdělávací akce. Jedná se o aktivity v přenesené působnosti.  
</t>
    </r>
    <r>
      <rPr>
        <b/>
        <sz val="11"/>
        <rFont val="Arial CE"/>
        <charset val="238"/>
      </rPr>
      <t xml:space="preserve">4. "Každý může být hvězdou," - 300 tis. Kč </t>
    </r>
    <r>
      <rPr>
        <sz val="11"/>
        <rFont val="Arial CE"/>
        <charset val="238"/>
      </rPr>
      <t xml:space="preserve">
Jedná se o 3.ročník celostátní taneční a hudební soutěže, které se zúčastní uživatelé sociálních služeb (zejména z domovů pro osoby se zdravotním postižením). Každý kraj bude v průběhu prvního pololetí vybírat 2-3 vítěze pro celostátní finále, které se uskuteční na území Olomouckého kraje v srpnu 2012. Celá akce bude probíhat pod záštitou hejtmana Olomouckého kraje. 
</t>
    </r>
  </si>
  <si>
    <t xml:space="preserve">Finanční prostředky na úhradu ztráty dopravcům, kteří zajišťují na základě smlouvy o závazku veřejné služby základní dopravní obslužnost území kraje. Úhrada prokazatelné ztráty ZDO vyplývá ze zákona č. 111/1994 Sb., ve znění pozdějších předpisů. Částka k úhradě prokazatelné ztráty zůstává v základu zachována dle schváleného rozpočtu roku 2011 ve výši 342 691 tis.Kč a navýšení v průběhu roku 2011 ve výši 12 171 tis.Kč, tj. celkem 354 862 tis.Kč. 
Navýšení pro rok 2012 je způsobeno: 
1. V roce 2012 dochází ke změně sazby DPH z 10% na 14% - předpokládaný dopad do dopravní obslužnosti OK ve výši 
5 900 tis.Kč   
2. Navýšení úhrady prokazatelné ztráty u dopravce Veolia Transport Morava a.s. z důvodu reorganizace dopravy OREDEM ve výši 600 tis. Kč. 
3. V případě, že dopravce Auta-Busy Studený , s.r.o. obdrží finanční prostředky na obnovu vozového parku z ROP bude navýšena úhrada prokazatelné ztráty pro splnění TPS OK z důvodu plánovaného zaintegrování v roce 2012 - (poslední nezaintegrovaný dopravce), elektronické tabule a označovače 430 tis.Kč strojky pro výdej jízdních dokladů 250 tis.Kč  pokud finanční prostř. z ROP neobdrží bude integrace odložena a dopravce si zajistí finanční prostředky na pořízení busů z vlastních zdrojů. 
4. Mezikrajské smlouvy na dopravní obslužnost - Jihomoravský kraj ve výši 530 tis.Kč. 
5. Prostředky na doplnění dopravní obslužnosti pro nové zdroje a cíle cest (školy, zaměstnanost, bydlení - satelity) ve výši 
3 000 tis. Kč. 
</t>
  </si>
  <si>
    <r>
      <rPr>
        <b/>
        <sz val="11"/>
        <rFont val="Arial CE"/>
        <charset val="238"/>
      </rPr>
      <t>1. Metodická činnost  - 5 tis. Kč</t>
    </r>
    <r>
      <rPr>
        <sz val="11"/>
        <rFont val="Arial CE"/>
        <charset val="238"/>
      </rPr>
      <t xml:space="preserve">      
Podle ustanovení § 28 odst. 1 zák. č. 20/1987 Sb., metodicky řídí krajský úřad výkon státní památkové péče v kraji. Povinnost zajišťovat metodickou činnost v oblasti kultury vyplývá především z ustanovení § 1, odst. 3 a § 14, odst. 2 zákona č. 129/2000 Sb., o krajích. Požadovaná finanční částka bude použita na úhradu činnosti lektorů a vypracování metodických materiálů. Metodická činnost bude výrazně zaměřena na problematiku možnosti získat pro akce v oblasti kultury a památkové péče zdroje z fondu EU. 
</t>
    </r>
    <r>
      <rPr>
        <b/>
        <sz val="11"/>
        <rFont val="Arial CE"/>
        <charset val="238"/>
      </rPr>
      <t xml:space="preserve">2. Inzerce - 70 tis.Kč </t>
    </r>
    <r>
      <rPr>
        <sz val="11"/>
        <rFont val="Arial CE"/>
        <charset val="238"/>
      </rPr>
      <t xml:space="preserve">
Tato částka je stanovena pro financování výběrových řízení, které jsou plánovány v roce 2012. 
</t>
    </r>
    <r>
      <rPr>
        <b/>
        <sz val="11"/>
        <rFont val="Arial CE"/>
        <charset val="238"/>
      </rPr>
      <t xml:space="preserve">3. Ceny Olomouckého kraje - 460 tis. Kč </t>
    </r>
    <r>
      <rPr>
        <sz val="11"/>
        <rFont val="Arial CE"/>
        <charset val="238"/>
      </rPr>
      <t xml:space="preserve">
V rámci této položky budou financovány náklady spojené se zajištěním organizace slavnostního předání Cen Olomouckého kraje za oblast kultury za rok 2011 v souladu s pravidly schválenými v ZOK dne 10.9.2007 dle usnesení ZOK č. UZ/17/28/2007. 
</t>
    </r>
  </si>
  <si>
    <r>
      <rPr>
        <b/>
        <sz val="11"/>
        <rFont val="Arial CE"/>
        <charset val="238"/>
      </rPr>
      <t xml:space="preserve">1. Program podpory environmentálního vzdělávání, výchovy a osvěty v Olomouckém kraji 2012 - 440 tis. Kč </t>
    </r>
    <r>
      <rPr>
        <sz val="11"/>
        <rFont val="Arial CE"/>
        <charset val="238"/>
      </rPr>
      <t xml:space="preserve">
Grantové schéma určené pro školy a školská zařízení (bez rozdílu zřizovatele) zařazená do rejstříku škol a školských zařízení a rejstříku  školských právnických osob sídlící v Olomouckém kraji.  Program podpory bude zaměřen na podporu školní environmentální výchovy např. environmentální osvětové akce pro veřejnost, zaměřené především k významným ekologickým dnům (např. Den Země, Den bezaut atd.) a k aktuálním problémům daného regionu, vydávání informačních materiálů s ekovýchovnou tématikou (výukové, informační a vzdělávací materiály, periodika, publikace, (videokazety), úpravy školních pozemků využívaných pro ekologickou výchovu atd. 
</t>
    </r>
    <r>
      <rPr>
        <b/>
        <sz val="11"/>
        <rFont val="Arial CE"/>
        <charset val="238"/>
      </rPr>
      <t xml:space="preserve">2. Soutěže EVVO - 50 tis. Kč </t>
    </r>
    <r>
      <rPr>
        <sz val="11"/>
        <rFont val="Arial CE"/>
        <charset val="238"/>
      </rPr>
      <t xml:space="preserve">
Zahrnuje finanční prostředky pro školy na území Olomouckého kraje oceněných v rámci soutěže Zelená škola Olomouckého kraje 2011/2012 a fotografické a výtvarné soutěže s ekologickou tematikou vyhlašované OŠMT KÚOK.  
</t>
    </r>
  </si>
  <si>
    <r>
      <rPr>
        <b/>
        <sz val="11"/>
        <rFont val="Arial CE"/>
        <charset val="238"/>
      </rPr>
      <t>Investiční příspěvek - Letiště Přerov a.s.</t>
    </r>
    <r>
      <rPr>
        <sz val="11"/>
        <rFont val="Arial CE"/>
        <charset val="238"/>
      </rPr>
      <t xml:space="preserve">
"Jedná se o finanční prostředky na investiční výdaje akciové společnosti Letiště Přerov, které vychází z Memoranda o spolupráci při rozvoji a provozu letiště (schváleno ZOK č. UZ/6/42/2009 ze dne 29. 6. 2009)."   V případě zvýšené potřeby bude řešeno v rámci přebytku hospodaření za rok 2011.                                                             
</t>
    </r>
  </si>
  <si>
    <r>
      <rPr>
        <b/>
        <sz val="11"/>
        <rFont val="Arial CE"/>
        <charset val="238"/>
      </rPr>
      <t xml:space="preserve">Studie a analýzy týkající se zajištění aktivit spojených s budováním letiště Přerov a.s.                                                     </t>
    </r>
    <r>
      <rPr>
        <sz val="11"/>
        <rFont val="Arial CE"/>
        <charset val="238"/>
      </rPr>
      <t xml:space="preserve">    
Zajištění aktivit spojených s budováním letiště Přerov - zpracování studie proveditelnosti pro žádost o dotaci z ROP Střední Morava  
(uznatelný náklad pro projekt v případě schválení dotace), dokumentace k územnímu řízení, případně další studie vyžádané evropskou  komisí . Pokud navrhovaná částka nebude dostačující, bude řešeno v rámci přebytku hospodaření za rok 2011.                                                               
</t>
    </r>
  </si>
  <si>
    <r>
      <rPr>
        <b/>
        <sz val="11"/>
        <rFont val="Arial CE"/>
        <charset val="238"/>
      </rPr>
      <t xml:space="preserve">Zajištění činnosti zájmového sdružení OK4EU </t>
    </r>
    <r>
      <rPr>
        <sz val="11"/>
        <rFont val="Arial CE"/>
        <charset val="238"/>
      </rPr>
      <t xml:space="preserve">
Zastupitelstvo Olomouckého kraje svým usnesením č. UZ/15/5/2010 ze dne 28. 6. 2010 rozhodlo o založení zájmového sdružení právnických osob „OK4EU“. Výše rozpočtu zájmového sdružení právnických osob „OK4EU“ na zajištění činnosti zastoupení OK v Bruselu (provozní náklady a náklady na konzultace, propagaci, poradenství, apod.) se předpokládá pro rok 2012 ve výši cca 4,8-5mil Kč. Přesná částka členského příspěvku bude schválena na Valné hromadě v listopadu 2011. Zbylá částka bude nárokována z přebytku hospodaření za rok 2011.                      
</t>
    </r>
  </si>
  <si>
    <r>
      <t xml:space="preserve">c) Územní studie křížení silnice II/150 s rychlostní komunikací R46 v Prostějově - 350 tis.Kč               
d) úhrada nákladů na pořízení změn územních plánů vyplývajících z aktualizace č.1 ZÚR OK dle § 45 odst. 2 stavebního zákona - 
300 tis. Kč </t>
    </r>
    <r>
      <rPr>
        <b/>
        <sz val="11"/>
        <rFont val="Arial CE"/>
        <charset val="238"/>
      </rPr>
      <t xml:space="preserve"> 
2. Úkoly, které přecházejíz roku 2011: - 500 tis.Kč     </t>
    </r>
    <r>
      <rPr>
        <sz val="11"/>
        <rFont val="Arial CE"/>
        <charset val="238"/>
      </rPr>
      <t xml:space="preserve">          
e) Územní studie - E3 - vedení VTL plynovodu Javorník - Bílá Voda (E010) a VTL plynovodu Žulová - Javorník (E15) - 150 tis.Kč 
f územní studie - D3 přeložka silnice I/44 v úsekzu Jeseník - Mikulovice  - 150tis.Kč               
g) Územní studie - D7 prověření širších dopravních souvislostí ve vztahu na přeložku silnice II/449 v úseku Uničov - silnice R35 - 200 tis. Kč                                                                                               
</t>
    </r>
    <r>
      <rPr>
        <b/>
        <sz val="11"/>
        <rFont val="Arial CE"/>
        <charset val="238"/>
      </rPr>
      <t xml:space="preserve">3. Územně analytické podklady Olomouckého kraje (ÚAP OK) - 500 tis.Kč         </t>
    </r>
    <r>
      <rPr>
        <sz val="11"/>
        <rFont val="Arial CE"/>
        <charset val="238"/>
      </rPr>
      <t xml:space="preserve">      
Aktualizace dat ÚAP je povinnost ze stavebního zákona, viz ust. § 28 odst. 1, aktualizace dat musí být prováděna průběžně, úplná  aktualizace 1x za dva roky. Krajský úřad při ní zajišťuje aktualizaci v části datového modelu i ve výsledcích a závěrech, tj. v Rozboru udržitelného rozvoje území.                                                                 
</t>
    </r>
    <r>
      <rPr>
        <b/>
        <sz val="11"/>
        <rFont val="Arial CE"/>
        <charset val="238"/>
      </rPr>
      <t xml:space="preserve">4. Technická pomoc II - 600 tis.Kč      </t>
    </r>
    <r>
      <rPr>
        <sz val="11"/>
        <rFont val="Arial CE"/>
        <charset val="238"/>
      </rPr>
      <t xml:space="preserve">         
Povinnost je dána § 56 zákona č. 500/2004 Sb., správní řád, opatřování znaleckých posudků a dle § 30 odst. 1 stavebního zákona -  
územní studie pro ověření vybraných problémů v území.                                                  
</t>
    </r>
  </si>
  <si>
    <r>
      <rPr>
        <b/>
        <sz val="11"/>
        <rFont val="Arial CE"/>
        <charset val="238"/>
      </rPr>
      <t xml:space="preserve">1. Aktualizace Územní energetické koncepce Olomouckého kraje  - 1 000 tis.Kč </t>
    </r>
    <r>
      <rPr>
        <sz val="11"/>
        <rFont val="Arial CE"/>
        <charset val="238"/>
      </rPr>
      <t xml:space="preserve">       
Aktualizace Územní energetické koncepce Olomouckého kraje včetně Akčního plánu ve smyslu zákona č. 406/2000 Sb. o hospodaření  energií, který ukládá aktualizovat krajské dokumenty do pěti let od pořízení. Dalším důvodem je očekávané schválení nové Státní  energetické koncepce ČR. Dle prohlášení vlády ČR má být aktualizace Státní energetické koncepce předložena do konce roku  2011.  
</t>
    </r>
    <r>
      <rPr>
        <b/>
        <sz val="11"/>
        <rFont val="Arial CE"/>
        <charset val="238"/>
      </rPr>
      <t/>
    </r>
  </si>
  <si>
    <r>
      <rPr>
        <b/>
        <sz val="11"/>
        <rFont val="Arial CE"/>
        <charset val="238"/>
      </rPr>
      <t xml:space="preserve">2. Optimalizace provozu odběrných míst elektřiny PO OK 2 - velkoodběratelé  -  500 tis.Kč      </t>
    </r>
    <r>
      <rPr>
        <sz val="11"/>
        <rFont val="Arial CE"/>
        <charset val="238"/>
      </rPr>
      <t xml:space="preserve">  
Na základě výsledků zpracované analýzy v roce 2011 o stavu 41odběrných míst v vysoké napětí (VN) v PO OK je navrženo vybrat externí odbornou poradenskou firmu,která bude pro všech 41 odběrných míst centrálně zajišťovat poradenství, technický dozor  a administrativní pomoc při realizaci opatření. Analýza provozu OM z VN vyčíslila potenciál úspor po realizaci optimalizačních opatření na 1,2 mil. Kč ročně. Vyčíslená částka se vztahuje pouze na provedená technická opatření a nereprezentuje finanční přínosy pro OK, ke kterým by mělo dojít v případech, kdy je majetek OK využíván distributorem ke svým podnikatelským účelům doposud bez platby nájemného ve prospěch OK.  
</t>
    </r>
    <r>
      <rPr>
        <b/>
        <sz val="11"/>
        <rFont val="Arial CE"/>
        <charset val="238"/>
      </rPr>
      <t xml:space="preserve">3. Zajištění provozu trafostanic v majetku OK velkoodběratelé - provoz trafostanic - 500 tis.Kč      </t>
    </r>
    <r>
      <rPr>
        <sz val="11"/>
        <rFont val="Arial CE"/>
        <charset val="238"/>
      </rPr>
      <t xml:space="preserve">  
Na základě provedené analýzy odběrných míst z úrovně VN bylo v r- 2011 zjištěno, že ve většině případů, kdy je trafostanice nebo část technologie VN vlastněna Olomouckým krajem ( 24 odběrných míst) není smluvně zajištěna údržba včetně zajištění oprav při poruše, neprovádí se prohlídky a revize. Pro některá OM odhalila analýza neuspokojivý stav transformátorů, který hrozí až havárií trafostanice. Vyskytl se i případ, kdy jsou v provozu komponenty, které obsahují zakázané látky PCB a měly být zlikvidovány nejpozději do konce roku 2010. Pro zajištění oprav, údržby, revizí a dalších činností je navrženo uzavřít rámcovou smlouvu na dodavatele uvedených prací pro všech 24 trafostanic v majetku OK s délkou trvání smluvního vztahu 4 roky. Finanční plnění bude probíhat v jednotlivých letech. Celková částka bude známa na výběrovém řízení, předpoklad celk.nákladů 1mil.Kč. Na rok 2012 je nárokována částka ve výši 500 tis.kč. Předpokládaná úspora při společném zajištění pro všech 24 odběrných míst za 4 roky může dosáhnout cca 25% z výše nákladů, tj. 250 tis.Kč a rovněž bude zamezeno negativním vlivům na provozu trafostanic.   
</t>
    </r>
    <r>
      <rPr>
        <b/>
        <sz val="11"/>
        <rFont val="Arial CE"/>
        <charset val="238"/>
      </rPr>
      <t xml:space="preserve">4. Pořizování a zajišťování statistických údajů - 100 tis.Kč      </t>
    </r>
    <r>
      <rPr>
        <sz val="11"/>
        <rFont val="Arial CE"/>
        <charset val="238"/>
      </rPr>
      <t xml:space="preserve">  
(dle zákona č. 248/2000 Sb. o podpoře regionálního rozvoje)                                                                 
 - zajišťování statistických dat o území uvnitř kraje(NUTS IV., NUTS V.)                                                                
 - zajišťování statistických dat o mikroregionech - nadstandard ČSÚ, za úplatu                                                                
Nižší částka je navržena s ohledem na možnost využití připravovaného projektu v technické pomoci ROP - Podpora rozvoje Olomouckého kraje 2012-2015.          </t>
    </r>
  </si>
  <si>
    <t xml:space="preserve">Příspěvky do 30 tis.Kč - UZ 002. Upravený rozpočet a čerpání probíhá na všech odborech - údaje uvedeny pro informaci  
</t>
  </si>
  <si>
    <r>
      <rPr>
        <b/>
        <sz val="11"/>
        <rFont val="Arial CE"/>
        <charset val="238"/>
      </rPr>
      <t>1. Spolupráce s Krajskou hospodářskou komorou Olomouckého kraje - podnikatelská mise - 250 tis.Kč</t>
    </r>
    <r>
      <rPr>
        <sz val="11"/>
        <rFont val="Arial CE"/>
        <charset val="238"/>
      </rPr>
      <t xml:space="preserve">
Částečně plnění Akčního plánu č.1 RIS.Finanční spoluúčast Olomouckého kraje ve výši 250 tis. Kč na přípravě kulatých stolů pro  podnikatele a realizaci obchodní mise. 
</t>
    </r>
    <r>
      <rPr>
        <b/>
        <sz val="11"/>
        <rFont val="Arial CE"/>
        <charset val="238"/>
      </rPr>
      <t xml:space="preserve">2. Projekt Business Point - 500 tis.Kč
</t>
    </r>
    <r>
      <rPr>
        <sz val="11"/>
        <rFont val="Arial CE"/>
        <charset val="238"/>
      </rPr>
      <t xml:space="preserve">(vytvoření informační a poradenské sítě  „BusinessPoint“ pro podnikatelské subjekty působící v Olomouckém kraji prostřednictvím fungující sítě hospodářských komor v Olomouckém kraji. Informace a poradenství bude zaměřeno na podporu mezinárodního obchodu, podporu inovací výrobků a technologií a informační podporu drobného a malého podnikání).                                                                
</t>
    </r>
  </si>
  <si>
    <t xml:space="preserve">Finanční prostředky budou určeny na kofinancování investičních a neinvestičních projektů pro terciální vzdělávání v Olomouckém kraji. 
1. Univerzity Palackého v Olomouci. - 3 500 tis. Kč 
2. Moravské vysoké školy Olomouc - 3 500 tis. Kč 
3. Vysoké školy logistiky Přerov  - 3 500 tis. Kč 
</t>
  </si>
  <si>
    <t xml:space="preserve">Podpora inovací v Olomouckém kraji - 4 500 tis. Kč </t>
  </si>
  <si>
    <r>
      <rPr>
        <b/>
        <sz val="11"/>
        <rFont val="Arial CE"/>
        <charset val="238"/>
      </rPr>
      <t xml:space="preserve">1. Finanční příspěvky v oblasti sportu - 23 450 tis. Kč </t>
    </r>
    <r>
      <rPr>
        <sz val="11"/>
        <rFont val="Arial CE"/>
        <charset val="238"/>
      </rPr>
      <t xml:space="preserve">
Zahrnuje prostředky na podporu vrcholového, výkonnostního a mládežnického sportu v Olomouckém kraji.  
</t>
    </r>
    <r>
      <rPr>
        <b/>
        <sz val="11"/>
        <rFont val="Arial CE"/>
        <charset val="238"/>
      </rPr>
      <t xml:space="preserve">2. Projekt Olomouckého krajského sdružení ČSTV - 1 000 tis. Kč </t>
    </r>
    <r>
      <rPr>
        <sz val="11"/>
        <rFont val="Arial CE"/>
        <charset val="238"/>
      </rPr>
      <t xml:space="preserve">
Zahrnuje finanční podporu projektu Olomouckého krajského sdružení ČSTV nazvaného Centrum indviduálních sportů kraje Olomouckého - CISKO. Cílem tohoto projektu je podpora sportovní přípravy mladých talentovaných sportovců ve sportovních oddílech na území Olomouckého kraje.  
</t>
    </r>
    <r>
      <rPr>
        <b/>
        <sz val="11"/>
        <rFont val="Arial CE"/>
        <charset val="238"/>
      </rPr>
      <t xml:space="preserve">3. Finanční příspěvky v oblasti sportu - 12 917 tis. Kč </t>
    </r>
    <r>
      <rPr>
        <sz val="11"/>
        <rFont val="Arial CE"/>
        <charset val="238"/>
      </rPr>
      <t xml:space="preserve">
Zahrnuje prostředky na podporu sportu v rámci každoročně vyhlašovaného dotačního titulu Program podpory sportu - Program I - Podpora celoroční sportovní činnosti sportovních subjektů a Program II - Podpora sportovních akcí regionálního charakteru.  
</t>
    </r>
  </si>
  <si>
    <r>
      <rPr>
        <b/>
        <sz val="11"/>
        <rFont val="Arial CE"/>
        <charset val="238"/>
      </rPr>
      <t>Zajištění</t>
    </r>
    <r>
      <rPr>
        <sz val="11"/>
        <rFont val="Arial CE"/>
        <charset val="238"/>
      </rPr>
      <t xml:space="preserve"> </t>
    </r>
    <r>
      <rPr>
        <b/>
        <sz val="11"/>
        <rFont val="Arial CE"/>
        <charset val="238"/>
      </rPr>
      <t>činnosti zájmového sdružení OK4EU Inovace</t>
    </r>
    <r>
      <rPr>
        <sz val="11"/>
        <rFont val="Arial CE"/>
        <charset val="238"/>
      </rPr>
      <t xml:space="preserve">        
Realizace Akčního plánu č. 1 RIS. Rada Olomouckého kraje svým usnesením č. UR/70/65/2011 ze dne 30. 8. 2011 vzala na vědomí návrh  
rozpočtu pro rok 2012 k realizaci aktivit Akčního plánu č. 1 RIS ve výši 15,56 mil. Kč. Pro rozpočet OSR je nárokována - mimo stávající podpory KHK, propagace a soutěže (viz jiné položky rozpočtu) částka 7,2 mil Kč:  
- inovační vouchery,  
- příprava expertů pro realizaci RIS,  
- pracoviště transferu technologií UP,  
- internetový portál sdružující nabídku a poptávku po službách, 
- právní servis pro MSP,  
- zprostředkování nabídky existujících služeb,  
- zapojení firemdo mezinár.programů,  
- nové propagační aktivity a služby z akčního plánu RIS.  
Členský příspěvek zájmovému sdružení právnických osob „OK4Inovace“ na zajištění činnosti se předpokládá pro rok 2012 ve výši cca  3,5 mil Kč. Přesná výše provozního rozpočtu bude schválena na Valné hromadě v listopadu-prosinci 2011.                       
</t>
    </r>
  </si>
  <si>
    <r>
      <rPr>
        <b/>
        <sz val="11"/>
        <rFont val="Arial CE"/>
        <charset val="238"/>
      </rPr>
      <t xml:space="preserve">1.  Prezentace kraje na konferencích a veletrzích za účelem propagace investičních příležitostí, rozvojových ploch, průmyslových zón apod. -  200 tis.Kč        </t>
    </r>
    <r>
      <rPr>
        <sz val="11"/>
        <rFont val="Arial CE"/>
        <charset val="238"/>
      </rPr>
      <t xml:space="preserve">
Částečně plnění Akčního plánu č.1 RIS. Jedná se o účast na dvou tuzemských veletrzích URBIS INVEST v Brně a REGIONINVEST v Olomouci a účast na 1 zahraničním veletrhu (např. REAL VIENNA ve Vídni, nebo EXPO REAL v Mnichově). Z této položky bude placen úklid a další služby spojené s grafickým návrhem, stavbou, demontáží stánku na veletrhu, včetně vybavení potřebným nábytkem a dalším zařízením. Schválení aktivity pro rok 2012 půjde do ROK v prosinci 2011.   
</t>
    </r>
    <r>
      <rPr>
        <b/>
        <sz val="11"/>
        <rFont val="Arial CE"/>
        <charset val="238"/>
      </rPr>
      <t xml:space="preserve">2. Propagační a prezentační materiály kraje v oblasti podnikání, obchodu, průmyslu, průmyslových zón, rozvojových ploch a krajské databáze podnikatelských nemovitostí  -  150 tis.Kč    </t>
    </r>
    <r>
      <rPr>
        <sz val="11"/>
        <rFont val="Arial CE"/>
        <charset val="238"/>
      </rPr>
      <t xml:space="preserve">    
Částečně plnění Akčního plánu č.1 RIS. Propagace investičních příležitostí Olomouckého kraje v tisku, provozování online databáze podnikatelských nemovitostí. Vydávání prezentačních materiálů, nákup a výroba propagačních předmětů na veletrhy, konference či jiné prezentační akce, dále grafická příprava těchto materiálů a inzerce. Schválení aktivit pro rok 2012 půjde do prosincové ROK v prosinci 2011.                                                                
</t>
    </r>
  </si>
  <si>
    <r>
      <rPr>
        <b/>
        <sz val="11"/>
        <rFont val="Arial CE"/>
        <charset val="238"/>
      </rPr>
      <t xml:space="preserve">3. Služby spojené s organizací soutěže Podnikatel roku 2011 - 180 tis.Kč        </t>
    </r>
    <r>
      <rPr>
        <sz val="11"/>
        <rFont val="Arial CE"/>
        <charset val="238"/>
      </rPr>
      <t xml:space="preserve">
Částečně plnění Akčního plánu č.1 RIS.Organizace a zajištění krajského kola soutěže Podnikatel roku 2011 Olomouckého kraje (kulturní program, moderátor večera, zvukař,výroba šeku). Příprava tiskových zpráv, zveřejnění v regionálním tisku a TV. Příprava vyhlášení dalšího ročníku soutěže. Schválení aktivity pro rok 2012 půjde do ROK v prosinci 2011. 
</t>
    </r>
    <r>
      <rPr>
        <b/>
        <sz val="11"/>
        <rFont val="Arial CE"/>
        <charset val="238"/>
      </rPr>
      <t xml:space="preserve">4. Podpora Vědeckotechnického parku Univerzity Palackého v Olomouci - 50 tis.Kč    </t>
    </r>
    <r>
      <rPr>
        <sz val="11"/>
        <rFont val="Arial CE"/>
        <charset val="238"/>
      </rPr>
      <t xml:space="preserve">    
Částečně plnění Akčního plánu č.1 RIS. Nákup služeb - komplexní zajištění služeb: Podpora Vědeckotechnického parku Univerzity  Palackého v projektech směrovaných na podporu podnikání (např. soutěž Podnikavá hlava). Schválení aktivity pro rok 2012 půjde do ROK v prosinci 2011.                                                                 
</t>
    </r>
  </si>
  <si>
    <r>
      <rPr>
        <b/>
        <sz val="11"/>
        <rFont val="Arial CE"/>
        <charset val="238"/>
      </rPr>
      <t xml:space="preserve">1. Zásady územního rozvoje Olomouckého kraje (ZÚR OK) -  1 650 tis.Kč        </t>
    </r>
    <r>
      <rPr>
        <sz val="11"/>
        <rFont val="Arial CE"/>
        <charset val="238"/>
      </rPr>
      <t xml:space="preserve">
Úkoly nové při naplňování Zásad územního rozvoje Olomouckého kraje vydaných usnesením č.UZ/21/32/2008 pod  č.j.KUOK/8832/2008/OSR-1/274 dne 22. 2. 2008 a vyplývající z přípravypro jejich aktualizaci dle § 42 odst. 1 stavebního zákona, ve znění pozdějších předpisů.               
Nové úkoly, které vyplývají z územních plánů a jiných aktivit:  
a) Územní studie řešení přeložky I/44 ve vztahu k protipovodňové ochraně na řeceDesné, Velké Losiny - 600 tis.Kč               
b) Územní studie Úprava koridoru pro přeložky silnice II/369 v úseku Olšany - Hanušovice (částečně ÚS D6) - 400 tis.Kč               </t>
    </r>
  </si>
  <si>
    <t xml:space="preserve">Obměna pracovních stanic zaměstnanců KÚOK v souvislosti s přechodem na Office 2010 a operační systém Windows 7 a další nákupy v rámci obměny ostatních zařízení. 
1. Monitory - 100 ks, PC - 100 ks - celkem 1 300 tis.Kč 
2. Provozní spotřeba - čtečky, čtečky s pamětí, čipové karty - celkem 120 tis.Kč 
</t>
  </si>
  <si>
    <t xml:space="preserve">Zahrnuje: 
1. Konzultace firmy ANET - rozvoj a údržba docházkového systému KÚOK - 20 tis.Kč 
2. Konzultace DTG - rozvoj a údržba ekonomických informačních systémů a spisových služeb KÚOK - 20 tis.Kč 
3. Konzultace firmy GORDIC v rámci nových modulů pro administrátory OIT - rozvoj a údržba mzdového a personálního informačního systému KÚOK - 20 tis.Kč 
4. Konzultace Marbes consulting s.r.o. - rozvoj a údržba SW pro evidenci nemovitostí a majetku příspěvkových organizací KÚOK- 20 tis.Kč 
5. Konzultace TESCOSW - rozvoj a údržba SW pro evidenci pasportizace budov KÚOK - 20 tis.Kč 
6. Analýza výkonu a fungování, správa databází firmou ORACLE - databáze Oracle je používána pro informační systém GINIS (spisové služby a ekonomické moduly) a DC2 (mzdy a personalistika) -  150 tis.Kč 
</t>
  </si>
  <si>
    <t xml:space="preserve">Zahrnuje: 
1. Integrace uživatelů AD-Kevis, Marbes consulting s.r.o. - celkem 100 tis.Kč 
2. Rozvoj a údržba mzdového a personálního informačních systému KÚOK - převody dat v rámci DC2 (vzdělávání apod.), DTG -  celkem 60 tis.Kč 
3. Rozvoj a údržba SW pro evidenci nemovitostí a majetku příspěvkových organizací KÚOK - převod dat majetku (věcný) PO do SW PROXIO ENO, Marbes consulting s.r.o. - celkem 50tis.Kč 
4. Rozvoj a údržba SW pro evidenci pasportizace budov KÚOK - plnění dat do FAMA+ - technické a stavební součásti budov z excelovských tabulek, TESCOSW - celkem 70 tis.Kč 
</t>
  </si>
  <si>
    <t xml:space="preserve">Zahrnuje: 
1. ICZ a.s. - vzdálená správa centrálního přepínače a nastavení síťových pravidel (smlouva č. 2003/0984/OIT) - celkem 
600 tis.Kč 
2. Infinity a.s. - Microsoft Enterprise Agreement - smlouva o podpoře a aktualizacích kancelářského softwareoffice (smlouva č. 2010/00939/OIT/DSM) - celkem 3 600 tis.Kč 
3. MERIT GROUP a.s. - opravy, paušální platba za přítomnost technika na opravy výpočetní techniky (smlouva č. 2007/1877/OIT) - celkem 377 tis. Kč 
4. MERIT GROUP a.s. - profylaxe, paušální platba za provádění profylaxe - kontrola výpočetní techniky, revize (smlouva č. 2004/0107/OIT) - celkem 400 tis.Kč 
5. ORBIT s.r.o. - CITRIX, podpora software pro vzdálený přístup do informačního systému Olomouckého kraje - detašovaná pracoviště (smlouva č. 2009/03907/OIT/DSM) - celkem 460 tis.Kč 
6. opravy rezerva - celkem 263 tis. Kč 
</t>
  </si>
  <si>
    <r>
      <rPr>
        <b/>
        <sz val="11"/>
        <rFont val="Arial CE"/>
        <charset val="238"/>
      </rPr>
      <t xml:space="preserve">Talent Olomouckého kraje </t>
    </r>
    <r>
      <rPr>
        <sz val="11"/>
        <rFont val="Arial CE"/>
        <charset val="238"/>
      </rPr>
      <t xml:space="preserve">
Finanční prostředky zahrnují finanční příspěvek na vyhlášení již 8. ročníku ocenění Talent Olomouckého kraje. V rámci tohoto vyhlášení jsou oceňováni nadaní a mimořádně nadaní žáci a studenti škol na území kraje. Student či žák obdrží v každé kategorii a v každém oboru jednorázově finanční odměnu v rozpětí od 1.000 - 5.000 Kč, a to podle umístění na 1. - 5. místě. V souvislosti s tímto budou dále prostřednictvím vypracovaného klíče finančně podpořeny i školy a školská zařízení Olomouckého kraje, kterým se umístil student či žák do 3. místa v ústředním kole, případně se účastnil mezinárodního kola. Tento finanční příspěvek bude moci škola použít např. na nákup učebních pomůcek, učebníchtextů, případně si tím úhradí náklady spojené  s přípravou a účastí studenta v ústředním nebo mezinárodním kole.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</si>
</sst>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0"/>
      <name val="Arial CE"/>
      <charset val="238"/>
    </font>
    <font>
      <b/>
      <sz val="10"/>
      <name val="Arial CE"/>
      <charset val="238"/>
    </font>
    <font>
      <b/>
      <sz val="15"/>
      <name val="Arial CE"/>
      <charset val="238"/>
    </font>
    <font>
      <sz val="8"/>
      <name val="Arial CE"/>
      <charset val="238"/>
    </font>
    <font>
      <sz val="9"/>
      <name val="Arial CE"/>
      <charset val="238"/>
    </font>
    <font>
      <b/>
      <sz val="11"/>
      <name val="Arial CE"/>
      <charset val="238"/>
    </font>
    <font>
      <sz val="10"/>
      <name val="Arial"/>
      <family val="2"/>
      <charset val="238"/>
    </font>
    <font>
      <b/>
      <sz val="16"/>
      <name val="Arial"/>
      <family val="2"/>
      <charset val="238"/>
    </font>
    <font>
      <b/>
      <sz val="10"/>
      <name val="Arial"/>
      <family val="2"/>
      <charset val="238"/>
    </font>
    <font>
      <b/>
      <sz val="12"/>
      <name val="Arial"/>
      <family val="2"/>
      <charset val="238"/>
    </font>
    <font>
      <b/>
      <sz val="11"/>
      <name val="Arial"/>
      <family val="2"/>
      <charset val="238"/>
    </font>
    <font>
      <sz val="11"/>
      <name val="Arial"/>
      <family val="2"/>
      <charset val="238"/>
    </font>
    <font>
      <sz val="10"/>
      <color rgb="FFFF0000"/>
      <name val="Arial CE"/>
      <charset val="238"/>
    </font>
    <font>
      <sz val="11"/>
      <color rgb="FFFF0000"/>
      <name val="Arial CE"/>
      <charset val="238"/>
    </font>
    <font>
      <b/>
      <i/>
      <u/>
      <sz val="10"/>
      <color theme="6" tint="-0.499984740745262"/>
      <name val="Arial CE"/>
      <charset val="238"/>
    </font>
    <font>
      <b/>
      <i/>
      <u/>
      <sz val="11"/>
      <color theme="6" tint="-0.499984740745262"/>
      <name val="Arial CE"/>
      <charset val="238"/>
    </font>
    <font>
      <b/>
      <sz val="8"/>
      <name val="Arial CE"/>
      <charset val="238"/>
    </font>
    <font>
      <b/>
      <sz val="7.8"/>
      <name val="Arial CE"/>
      <charset val="238"/>
    </font>
    <font>
      <sz val="11"/>
      <name val="Arial CE"/>
      <charset val="238"/>
    </font>
    <font>
      <sz val="8"/>
      <color indexed="81"/>
      <name val="Tahoma"/>
      <family val="2"/>
      <charset val="238"/>
    </font>
    <font>
      <b/>
      <sz val="8"/>
      <color indexed="81"/>
      <name val="Tahoma"/>
      <family val="2"/>
      <charset val="238"/>
    </font>
  </fonts>
  <fills count="3">
    <fill>
      <patternFill patternType="none"/>
    </fill>
    <fill>
      <patternFill patternType="gray125"/>
    </fill>
    <fill>
      <patternFill patternType="solid">
        <fgColor theme="0"/>
        <bgColor indexed="64"/>
      </patternFill>
    </fill>
  </fills>
  <borders count="64">
    <border>
      <left/>
      <right/>
      <top/>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double">
        <color indexed="64"/>
      </right>
      <top style="double">
        <color indexed="64"/>
      </top>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style="double">
        <color indexed="64"/>
      </bottom>
      <diagonal/>
    </border>
    <border>
      <left style="double">
        <color indexed="64"/>
      </left>
      <right style="thin">
        <color indexed="64"/>
      </right>
      <top/>
      <bottom style="thin">
        <color indexed="64"/>
      </bottom>
      <diagonal/>
    </border>
    <border>
      <left style="double">
        <color indexed="64"/>
      </left>
      <right/>
      <top/>
      <bottom style="double">
        <color indexed="64"/>
      </bottom>
      <diagonal/>
    </border>
    <border>
      <left/>
      <right style="thin">
        <color indexed="64"/>
      </right>
      <top/>
      <bottom style="double">
        <color indexed="64"/>
      </bottom>
      <diagonal/>
    </border>
    <border>
      <left style="double">
        <color indexed="64"/>
      </left>
      <right style="thin">
        <color indexed="64"/>
      </right>
      <top style="double">
        <color indexed="64"/>
      </top>
      <bottom style="double">
        <color indexed="64"/>
      </bottom>
      <diagonal/>
    </border>
    <border>
      <left style="double">
        <color indexed="64"/>
      </left>
      <right/>
      <top style="double">
        <color indexed="64"/>
      </top>
      <bottom/>
      <diagonal/>
    </border>
    <border>
      <left/>
      <right style="thin">
        <color indexed="64"/>
      </right>
      <top style="double">
        <color indexed="64"/>
      </top>
      <bottom/>
      <diagonal/>
    </border>
    <border>
      <left style="double">
        <color indexed="64"/>
      </left>
      <right/>
      <top style="thin">
        <color indexed="64"/>
      </top>
      <bottom style="double">
        <color indexed="64"/>
      </bottom>
      <diagonal/>
    </border>
    <border>
      <left/>
      <right style="thin">
        <color indexed="64"/>
      </right>
      <top style="thin">
        <color indexed="64"/>
      </top>
      <bottom style="double">
        <color indexed="64"/>
      </bottom>
      <diagonal/>
    </border>
    <border>
      <left style="double">
        <color indexed="64"/>
      </left>
      <right/>
      <top style="thin">
        <color indexed="64"/>
      </top>
      <bottom/>
      <diagonal/>
    </border>
    <border>
      <left/>
      <right style="thin">
        <color indexed="64"/>
      </right>
      <top style="thin">
        <color indexed="64"/>
      </top>
      <bottom/>
      <diagonal/>
    </border>
    <border>
      <left/>
      <right/>
      <top style="double">
        <color indexed="64"/>
      </top>
      <bottom/>
      <diagonal/>
    </border>
    <border>
      <left style="medium">
        <color indexed="64"/>
      </left>
      <right/>
      <top/>
      <bottom/>
      <diagonal/>
    </border>
    <border>
      <left style="thin">
        <color indexed="64"/>
      </left>
      <right/>
      <top/>
      <bottom/>
      <diagonal/>
    </border>
    <border>
      <left style="thin">
        <color indexed="64"/>
      </left>
      <right style="medium">
        <color indexed="64"/>
      </right>
      <top/>
      <bottom/>
      <diagonal/>
    </border>
    <border>
      <left style="medium">
        <color indexed="64"/>
      </left>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right style="medium">
        <color indexed="64"/>
      </right>
      <top/>
      <bottom/>
      <diagonal/>
    </border>
    <border>
      <left style="medium">
        <color auto="1"/>
      </left>
      <right style="thin">
        <color auto="1"/>
      </right>
      <top/>
      <bottom/>
      <diagonal/>
    </border>
    <border>
      <left style="medium">
        <color indexed="64"/>
      </left>
      <right/>
      <top/>
      <bottom style="double">
        <color indexed="64"/>
      </bottom>
      <diagonal/>
    </border>
    <border>
      <left style="thin">
        <color indexed="64"/>
      </left>
      <right/>
      <top/>
      <bottom style="double">
        <color indexed="64"/>
      </bottom>
      <diagonal/>
    </border>
    <border>
      <left style="thin">
        <color indexed="64"/>
      </left>
      <right style="medium">
        <color indexed="64"/>
      </right>
      <top/>
      <bottom style="double">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double">
        <color auto="1"/>
      </right>
      <top style="double">
        <color auto="1"/>
      </top>
      <bottom style="double">
        <color auto="1"/>
      </bottom>
      <diagonal/>
    </border>
    <border>
      <left style="double">
        <color indexed="64"/>
      </left>
      <right style="thin">
        <color indexed="64"/>
      </right>
      <top style="thin">
        <color indexed="64"/>
      </top>
      <bottom style="double">
        <color indexed="64"/>
      </bottom>
      <diagonal/>
    </border>
    <border>
      <left/>
      <right style="double">
        <color indexed="64"/>
      </right>
      <top style="double">
        <color indexed="64"/>
      </top>
      <bottom style="thin">
        <color indexed="64"/>
      </bottom>
      <diagonal/>
    </border>
    <border>
      <left/>
      <right style="double">
        <color indexed="64"/>
      </right>
      <top style="thin">
        <color indexed="64"/>
      </top>
      <bottom style="double">
        <color indexed="64"/>
      </bottom>
      <diagonal/>
    </border>
    <border>
      <left style="thin">
        <color indexed="64"/>
      </left>
      <right style="double">
        <color indexed="64"/>
      </right>
      <top style="double">
        <color indexed="64"/>
      </top>
      <bottom style="double">
        <color indexed="64"/>
      </bottom>
      <diagonal/>
    </border>
  </borders>
  <cellStyleXfs count="2">
    <xf numFmtId="0" fontId="0" fillId="0" borderId="0"/>
    <xf numFmtId="0" fontId="6" fillId="0" borderId="0"/>
  </cellStyleXfs>
  <cellXfs count="315">
    <xf numFmtId="0" fontId="0" fillId="0" borderId="0" xfId="0"/>
    <xf numFmtId="3" fontId="0" fillId="0" borderId="0" xfId="0" applyNumberFormat="1" applyAlignment="1">
      <alignment wrapText="1"/>
    </xf>
    <xf numFmtId="0" fontId="1" fillId="0" borderId="0" xfId="0" applyFont="1" applyAlignment="1">
      <alignment horizontal="right" vertical="center"/>
    </xf>
    <xf numFmtId="0" fontId="2" fillId="0" borderId="0" xfId="0" applyFont="1" applyAlignment="1">
      <alignment horizontal="right" vertical="center"/>
    </xf>
    <xf numFmtId="0" fontId="0" fillId="0" borderId="0" xfId="0" applyFont="1" applyAlignment="1">
      <alignment horizontal="left" vertical="center"/>
    </xf>
    <xf numFmtId="0" fontId="3" fillId="0" borderId="0" xfId="0" applyFont="1" applyAlignment="1">
      <alignment horizontal="right" vertical="center"/>
    </xf>
    <xf numFmtId="3" fontId="4" fillId="0" borderId="1" xfId="0" applyNumberFormat="1" applyFont="1" applyBorder="1" applyAlignment="1">
      <alignment horizontal="center" vertical="center" wrapText="1"/>
    </xf>
    <xf numFmtId="0" fontId="4" fillId="0" borderId="2" xfId="0" applyFont="1" applyBorder="1" applyAlignment="1">
      <alignment horizontal="center" vertical="center" wrapText="1"/>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0" fillId="0" borderId="4" xfId="0" applyFont="1" applyBorder="1" applyAlignment="1">
      <alignment horizontal="center" vertical="center"/>
    </xf>
    <xf numFmtId="0" fontId="0" fillId="0" borderId="5" xfId="0" applyFont="1" applyBorder="1" applyAlignment="1">
      <alignment horizontal="center" vertical="center"/>
    </xf>
    <xf numFmtId="3" fontId="0" fillId="0" borderId="5" xfId="0" applyNumberFormat="1" applyFont="1" applyBorder="1" applyAlignment="1">
      <alignment horizontal="center" vertical="center" wrapText="1"/>
    </xf>
    <xf numFmtId="0" fontId="0"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3" fontId="1" fillId="0" borderId="8" xfId="0" applyNumberFormat="1" applyFont="1" applyBorder="1" applyAlignment="1">
      <alignment horizontal="left" vertical="center" wrapText="1"/>
    </xf>
    <xf numFmtId="3" fontId="5" fillId="0" borderId="8" xfId="0" applyNumberFormat="1" applyFont="1" applyBorder="1" applyAlignment="1">
      <alignment horizontal="right" vertical="center" wrapText="1"/>
    </xf>
    <xf numFmtId="0" fontId="5" fillId="0" borderId="10" xfId="0" applyFont="1" applyBorder="1" applyAlignment="1">
      <alignment horizontal="left" vertical="center"/>
    </xf>
    <xf numFmtId="0" fontId="5" fillId="0" borderId="11" xfId="0" applyFont="1" applyBorder="1" applyAlignment="1">
      <alignment vertical="center"/>
    </xf>
    <xf numFmtId="3" fontId="5" fillId="0" borderId="11" xfId="0" applyNumberFormat="1" applyFont="1" applyBorder="1" applyAlignment="1">
      <alignment vertical="center" wrapText="1"/>
    </xf>
    <xf numFmtId="3" fontId="5" fillId="0" borderId="12" xfId="0" applyNumberFormat="1" applyFont="1" applyBorder="1" applyAlignment="1">
      <alignment horizontal="right" vertical="center" wrapText="1"/>
    </xf>
    <xf numFmtId="0" fontId="5" fillId="0" borderId="14" xfId="0" applyFont="1" applyBorder="1" applyAlignment="1">
      <alignment horizontal="left" vertical="center"/>
    </xf>
    <xf numFmtId="3" fontId="5" fillId="0" borderId="14" xfId="0" applyNumberFormat="1" applyFont="1" applyBorder="1" applyAlignment="1">
      <alignment horizontal="left" vertical="center" wrapText="1"/>
    </xf>
    <xf numFmtId="3" fontId="5" fillId="0" borderId="14" xfId="0" applyNumberFormat="1" applyFont="1" applyBorder="1" applyAlignment="1">
      <alignment horizontal="right" vertical="center" wrapText="1"/>
    </xf>
    <xf numFmtId="0" fontId="5" fillId="0" borderId="14" xfId="0" applyFont="1" applyBorder="1" applyAlignment="1">
      <alignment horizontal="right" vertical="center"/>
    </xf>
    <xf numFmtId="0" fontId="5" fillId="0" borderId="15" xfId="0" applyFont="1" applyBorder="1" applyAlignment="1">
      <alignment horizontal="left" vertical="center"/>
    </xf>
    <xf numFmtId="3" fontId="5" fillId="0" borderId="15" xfId="0" applyNumberFormat="1" applyFont="1" applyBorder="1" applyAlignment="1">
      <alignment horizontal="left" vertical="center" wrapText="1"/>
    </xf>
    <xf numFmtId="3" fontId="5" fillId="0" borderId="15" xfId="0" applyNumberFormat="1" applyFont="1" applyBorder="1" applyAlignment="1">
      <alignment horizontal="right" vertical="center" wrapText="1"/>
    </xf>
    <xf numFmtId="0" fontId="5" fillId="0" borderId="0" xfId="0" applyFont="1" applyBorder="1" applyAlignment="1">
      <alignment horizontal="left" vertical="center"/>
    </xf>
    <xf numFmtId="3" fontId="5" fillId="0" borderId="0" xfId="0" applyNumberFormat="1" applyFont="1" applyBorder="1" applyAlignment="1">
      <alignment horizontal="left" vertical="center" wrapText="1"/>
    </xf>
    <xf numFmtId="3" fontId="5" fillId="0" borderId="0" xfId="0" applyNumberFormat="1" applyFont="1" applyBorder="1" applyAlignment="1">
      <alignment horizontal="right" vertical="center" wrapText="1"/>
    </xf>
    <xf numFmtId="3" fontId="12" fillId="0" borderId="0" xfId="0" applyNumberFormat="1" applyFont="1" applyAlignment="1">
      <alignment wrapText="1"/>
    </xf>
    <xf numFmtId="3" fontId="13" fillId="0" borderId="14" xfId="0" applyNumberFormat="1" applyFont="1" applyBorder="1" applyAlignment="1">
      <alignment horizontal="right" vertical="center" wrapText="1"/>
    </xf>
    <xf numFmtId="0" fontId="7" fillId="0" borderId="0" xfId="1" applyFont="1" applyFill="1"/>
    <xf numFmtId="0" fontId="6" fillId="0" borderId="0" xfId="1" applyFill="1"/>
    <xf numFmtId="0" fontId="8" fillId="0" borderId="0" xfId="1" applyFont="1" applyFill="1"/>
    <xf numFmtId="4" fontId="6" fillId="0" borderId="0" xfId="1" applyNumberFormat="1" applyFill="1"/>
    <xf numFmtId="0" fontId="9" fillId="0" borderId="0" xfId="1" applyFont="1" applyFill="1"/>
    <xf numFmtId="0" fontId="6" fillId="0" borderId="16" xfId="1" applyFill="1" applyBorder="1" applyAlignment="1">
      <alignment horizontal="center" vertical="center"/>
    </xf>
    <xf numFmtId="3" fontId="6" fillId="0" borderId="17" xfId="1" applyNumberFormat="1" applyFont="1" applyFill="1" applyBorder="1" applyAlignment="1">
      <alignment horizontal="center" vertical="center" wrapText="1"/>
    </xf>
    <xf numFmtId="3" fontId="6" fillId="0" borderId="18" xfId="1" applyNumberFormat="1" applyFont="1" applyFill="1" applyBorder="1" applyAlignment="1">
      <alignment horizontal="center" vertical="center" wrapText="1"/>
    </xf>
    <xf numFmtId="4" fontId="6" fillId="0" borderId="19" xfId="1" applyNumberFormat="1" applyFont="1" applyFill="1" applyBorder="1" applyAlignment="1">
      <alignment horizontal="center" vertical="center" wrapText="1"/>
    </xf>
    <xf numFmtId="0" fontId="6" fillId="0" borderId="0" xfId="1" applyFont="1" applyFill="1"/>
    <xf numFmtId="0" fontId="6" fillId="0" borderId="20" xfId="1" applyFill="1" applyBorder="1" applyAlignment="1">
      <alignment horizontal="center"/>
    </xf>
    <xf numFmtId="3" fontId="6" fillId="0" borderId="20" xfId="1" applyNumberFormat="1" applyFont="1" applyFill="1" applyBorder="1" applyAlignment="1">
      <alignment horizontal="center" vertical="center" wrapText="1"/>
    </xf>
    <xf numFmtId="3" fontId="6" fillId="0" borderId="20" xfId="1" applyNumberFormat="1" applyFill="1" applyBorder="1" applyAlignment="1">
      <alignment horizontal="center" vertical="center" wrapText="1"/>
    </xf>
    <xf numFmtId="4" fontId="6" fillId="0" borderId="21" xfId="1" applyNumberFormat="1" applyFont="1" applyFill="1" applyBorder="1" applyAlignment="1">
      <alignment horizontal="center" vertical="center" wrapText="1"/>
    </xf>
    <xf numFmtId="0" fontId="10" fillId="0" borderId="0" xfId="1" applyFont="1" applyFill="1"/>
    <xf numFmtId="0" fontId="10" fillId="0" borderId="25" xfId="1" applyFont="1" applyFill="1" applyBorder="1"/>
    <xf numFmtId="3" fontId="10" fillId="0" borderId="25" xfId="1" applyNumberFormat="1" applyFont="1" applyFill="1" applyBorder="1"/>
    <xf numFmtId="4" fontId="10" fillId="0" borderId="26" xfId="1" applyNumberFormat="1" applyFont="1" applyFill="1" applyBorder="1" applyAlignment="1"/>
    <xf numFmtId="0" fontId="10" fillId="0" borderId="28" xfId="1" applyFont="1" applyFill="1" applyBorder="1"/>
    <xf numFmtId="3" fontId="10" fillId="0" borderId="28" xfId="1" applyNumberFormat="1" applyFont="1" applyFill="1" applyBorder="1"/>
    <xf numFmtId="4" fontId="10" fillId="0" borderId="29" xfId="1" applyNumberFormat="1" applyFont="1" applyFill="1" applyBorder="1" applyAlignment="1"/>
    <xf numFmtId="0" fontId="10" fillId="0" borderId="27" xfId="1" applyFont="1" applyFill="1" applyBorder="1" applyAlignment="1"/>
    <xf numFmtId="0" fontId="10" fillId="0" borderId="28" xfId="1" applyFont="1" applyFill="1" applyBorder="1" applyAlignment="1"/>
    <xf numFmtId="3" fontId="10" fillId="0" borderId="28" xfId="1" applyNumberFormat="1" applyFont="1" applyFill="1" applyBorder="1" applyAlignment="1"/>
    <xf numFmtId="0" fontId="11" fillId="0" borderId="0" xfId="1" applyFont="1" applyFill="1"/>
    <xf numFmtId="0" fontId="10" fillId="0" borderId="0" xfId="1" applyFont="1" applyFill="1" applyBorder="1"/>
    <xf numFmtId="0" fontId="10" fillId="0" borderId="32" xfId="1" applyFont="1" applyFill="1" applyBorder="1"/>
    <xf numFmtId="3" fontId="10" fillId="0" borderId="32" xfId="1" applyNumberFormat="1" applyFont="1" applyFill="1" applyBorder="1"/>
    <xf numFmtId="0" fontId="10" fillId="0" borderId="33" xfId="1" applyFont="1" applyFill="1" applyBorder="1"/>
    <xf numFmtId="3" fontId="10" fillId="0" borderId="33" xfId="1" applyNumberFormat="1" applyFont="1" applyFill="1" applyBorder="1"/>
    <xf numFmtId="4" fontId="10" fillId="0" borderId="21" xfId="1" applyNumberFormat="1" applyFont="1" applyFill="1" applyBorder="1" applyAlignment="1"/>
    <xf numFmtId="3" fontId="10" fillId="0" borderId="34" xfId="1" applyNumberFormat="1" applyFont="1" applyFill="1" applyBorder="1"/>
    <xf numFmtId="3" fontId="11" fillId="0" borderId="0" xfId="1" applyNumberFormat="1" applyFont="1" applyFill="1"/>
    <xf numFmtId="4" fontId="11" fillId="0" borderId="0" xfId="1" applyNumberFormat="1" applyFont="1" applyFill="1"/>
    <xf numFmtId="3" fontId="6" fillId="0" borderId="0" xfId="1" applyNumberFormat="1" applyFill="1"/>
    <xf numFmtId="0" fontId="2" fillId="0" borderId="0" xfId="0" applyFont="1" applyFill="1" applyAlignment="1">
      <alignment horizontal="right" vertical="center"/>
    </xf>
    <xf numFmtId="0" fontId="3" fillId="0" borderId="0" xfId="0" applyFont="1" applyFill="1" applyAlignment="1">
      <alignment horizontal="right" vertical="center"/>
    </xf>
    <xf numFmtId="3" fontId="4" fillId="0" borderId="1" xfId="0" applyNumberFormat="1" applyFont="1" applyFill="1" applyBorder="1" applyAlignment="1">
      <alignment horizontal="center" vertical="center" wrapText="1"/>
    </xf>
    <xf numFmtId="3" fontId="0" fillId="0" borderId="5" xfId="0" applyNumberFormat="1" applyFont="1" applyFill="1" applyBorder="1" applyAlignment="1">
      <alignment horizontal="center" vertical="center" wrapText="1"/>
    </xf>
    <xf numFmtId="3" fontId="5" fillId="0" borderId="12" xfId="0" applyNumberFormat="1" applyFont="1" applyFill="1" applyBorder="1" applyAlignment="1">
      <alignment horizontal="right" vertical="center" wrapText="1"/>
    </xf>
    <xf numFmtId="3" fontId="0" fillId="0" borderId="0" xfId="0" applyNumberFormat="1" applyFill="1" applyAlignment="1">
      <alignment wrapText="1"/>
    </xf>
    <xf numFmtId="3" fontId="5" fillId="0" borderId="14" xfId="0" applyNumberFormat="1" applyFont="1" applyFill="1" applyBorder="1" applyAlignment="1">
      <alignment horizontal="left" vertical="center" wrapText="1"/>
    </xf>
    <xf numFmtId="0" fontId="0" fillId="0" borderId="0" xfId="0" applyFill="1"/>
    <xf numFmtId="0" fontId="2" fillId="0" borderId="0" xfId="0" applyFont="1" applyAlignment="1">
      <alignment horizontal="left" vertical="top" wrapText="1"/>
    </xf>
    <xf numFmtId="0" fontId="0" fillId="0" borderId="0" xfId="0" applyAlignment="1">
      <alignment horizontal="left" vertical="top" wrapText="1"/>
    </xf>
    <xf numFmtId="0" fontId="0" fillId="0" borderId="49" xfId="0" applyFont="1" applyBorder="1" applyAlignment="1">
      <alignment horizontal="center" vertical="center"/>
    </xf>
    <xf numFmtId="0" fontId="0" fillId="0" borderId="50" xfId="0" applyFont="1" applyBorder="1" applyAlignment="1">
      <alignment horizontal="center" vertical="center"/>
    </xf>
    <xf numFmtId="3" fontId="0" fillId="0" borderId="50" xfId="0" applyNumberFormat="1" applyFont="1" applyBorder="1" applyAlignment="1">
      <alignment horizontal="center" vertical="center" wrapText="1"/>
    </xf>
    <xf numFmtId="0" fontId="1" fillId="0" borderId="46" xfId="0" applyFont="1" applyBorder="1" applyAlignment="1">
      <alignment horizontal="center" vertical="center"/>
    </xf>
    <xf numFmtId="0" fontId="1" fillId="0" borderId="47" xfId="0" applyFont="1" applyBorder="1" applyAlignment="1">
      <alignment horizontal="center" vertical="center"/>
    </xf>
    <xf numFmtId="3" fontId="1" fillId="0" borderId="47" xfId="0" applyNumberFormat="1" applyFont="1" applyBorder="1" applyAlignment="1">
      <alignment horizontal="left" vertical="center" wrapText="1"/>
    </xf>
    <xf numFmtId="3" fontId="5" fillId="0" borderId="47" xfId="0" applyNumberFormat="1" applyFont="1" applyBorder="1" applyAlignment="1">
      <alignment horizontal="right" vertical="center" wrapText="1"/>
    </xf>
    <xf numFmtId="3" fontId="14" fillId="0" borderId="50" xfId="0" applyNumberFormat="1" applyFont="1" applyBorder="1" applyAlignment="1">
      <alignment horizontal="left" vertical="center" wrapText="1"/>
    </xf>
    <xf numFmtId="3" fontId="15" fillId="0" borderId="47" xfId="0" applyNumberFormat="1" applyFont="1" applyBorder="1" applyAlignment="1">
      <alignment horizontal="left" vertical="center" wrapText="1"/>
    </xf>
    <xf numFmtId="0" fontId="1" fillId="0" borderId="49" xfId="0" applyFont="1" applyBorder="1" applyAlignment="1">
      <alignment horizontal="center" vertical="center"/>
    </xf>
    <xf numFmtId="0" fontId="1" fillId="0" borderId="50" xfId="0" applyFont="1" applyBorder="1" applyAlignment="1">
      <alignment horizontal="center" vertical="center"/>
    </xf>
    <xf numFmtId="3" fontId="1" fillId="0" borderId="50" xfId="0" applyNumberFormat="1" applyFont="1" applyBorder="1" applyAlignment="1">
      <alignment horizontal="left" vertical="center" wrapText="1"/>
    </xf>
    <xf numFmtId="3" fontId="5" fillId="0" borderId="50" xfId="0" applyNumberFormat="1" applyFont="1" applyBorder="1" applyAlignment="1">
      <alignment horizontal="right"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3" fontId="1" fillId="0" borderId="5" xfId="0" applyNumberFormat="1" applyFont="1" applyBorder="1" applyAlignment="1">
      <alignment horizontal="left" vertical="center" wrapText="1"/>
    </xf>
    <xf numFmtId="3" fontId="5" fillId="0" borderId="5" xfId="0" applyNumberFormat="1" applyFont="1" applyBorder="1" applyAlignment="1">
      <alignment horizontal="right" vertical="center" wrapText="1"/>
    </xf>
    <xf numFmtId="3" fontId="14" fillId="0" borderId="47" xfId="0" applyNumberFormat="1" applyFont="1" applyBorder="1" applyAlignment="1">
      <alignment horizontal="left" vertical="center" wrapText="1"/>
    </xf>
    <xf numFmtId="3" fontId="1" fillId="0" borderId="31" xfId="0" applyNumberFormat="1" applyFont="1" applyBorder="1" applyAlignment="1">
      <alignment horizontal="left" vertical="center" wrapText="1"/>
    </xf>
    <xf numFmtId="4" fontId="2" fillId="0" borderId="0" xfId="0" applyNumberFormat="1" applyFont="1" applyAlignment="1">
      <alignment horizontal="right" vertical="center"/>
    </xf>
    <xf numFmtId="4" fontId="3" fillId="0" borderId="0" xfId="0" applyNumberFormat="1" applyFont="1" applyAlignment="1">
      <alignment horizontal="right" vertical="center"/>
    </xf>
    <xf numFmtId="4" fontId="4" fillId="0" borderId="3" xfId="0" applyNumberFormat="1" applyFont="1" applyBorder="1" applyAlignment="1">
      <alignment horizontal="center" vertical="center" wrapText="1"/>
    </xf>
    <xf numFmtId="4" fontId="0" fillId="0" borderId="6" xfId="0" applyNumberFormat="1" applyFont="1" applyBorder="1" applyAlignment="1">
      <alignment horizontal="center" vertical="center"/>
    </xf>
    <xf numFmtId="4" fontId="0" fillId="0" borderId="51" xfId="0" applyNumberFormat="1" applyFont="1" applyBorder="1" applyAlignment="1">
      <alignment horizontal="center" vertical="center"/>
    </xf>
    <xf numFmtId="4" fontId="5" fillId="0" borderId="48" xfId="0" applyNumberFormat="1" applyFont="1" applyBorder="1" applyAlignment="1">
      <alignment horizontal="right" vertical="center"/>
    </xf>
    <xf numFmtId="4" fontId="15" fillId="0" borderId="48" xfId="0" applyNumberFormat="1" applyFont="1" applyBorder="1" applyAlignment="1">
      <alignment horizontal="left" vertical="center"/>
    </xf>
    <xf numFmtId="4" fontId="5" fillId="0" borderId="9" xfId="0" applyNumberFormat="1" applyFont="1" applyBorder="1" applyAlignment="1">
      <alignment horizontal="right" vertical="center"/>
    </xf>
    <xf numFmtId="4" fontId="5" fillId="0" borderId="13" xfId="0" applyNumberFormat="1" applyFont="1" applyBorder="1" applyAlignment="1">
      <alignment horizontal="right" vertical="center"/>
    </xf>
    <xf numFmtId="4" fontId="0" fillId="0" borderId="0" xfId="0" applyNumberFormat="1"/>
    <xf numFmtId="4" fontId="5" fillId="0" borderId="14" xfId="0" applyNumberFormat="1" applyFont="1" applyBorder="1" applyAlignment="1">
      <alignment horizontal="right" vertical="center"/>
    </xf>
    <xf numFmtId="4" fontId="5" fillId="0" borderId="0" xfId="0" applyNumberFormat="1" applyFont="1" applyBorder="1" applyAlignment="1">
      <alignment horizontal="right" vertical="center"/>
    </xf>
    <xf numFmtId="4" fontId="5" fillId="0" borderId="15" xfId="0" applyNumberFormat="1" applyFont="1" applyBorder="1" applyAlignment="1">
      <alignment horizontal="right" vertical="center"/>
    </xf>
    <xf numFmtId="4" fontId="5" fillId="0" borderId="6" xfId="0" applyNumberFormat="1" applyFont="1" applyBorder="1" applyAlignment="1">
      <alignment horizontal="right" vertical="center"/>
    </xf>
    <xf numFmtId="0" fontId="14" fillId="0" borderId="0" xfId="0" applyFont="1" applyAlignment="1">
      <alignment horizontal="left"/>
    </xf>
    <xf numFmtId="4" fontId="5" fillId="0" borderId="51" xfId="0" applyNumberFormat="1" applyFont="1" applyBorder="1" applyAlignment="1">
      <alignment horizontal="right" vertical="center"/>
    </xf>
    <xf numFmtId="4" fontId="5" fillId="0" borderId="48" xfId="0" applyNumberFormat="1" applyFont="1" applyBorder="1" applyAlignment="1">
      <alignment horizontal="right" vertical="center" shrinkToFit="1"/>
    </xf>
    <xf numFmtId="0" fontId="1" fillId="0" borderId="46" xfId="0" applyFont="1" applyBorder="1" applyAlignment="1">
      <alignment horizontal="center" vertical="center" wrapText="1"/>
    </xf>
    <xf numFmtId="0" fontId="16" fillId="0" borderId="46" xfId="0" applyFont="1" applyBorder="1" applyAlignment="1">
      <alignment horizontal="center" vertical="center" wrapText="1"/>
    </xf>
    <xf numFmtId="0" fontId="1" fillId="0" borderId="47" xfId="0" applyFont="1" applyBorder="1" applyAlignment="1">
      <alignment horizontal="center" vertical="center" wrapText="1"/>
    </xf>
    <xf numFmtId="0" fontId="1" fillId="0" borderId="0" xfId="0" applyFont="1" applyBorder="1" applyAlignment="1">
      <alignment horizontal="center" vertical="center"/>
    </xf>
    <xf numFmtId="3" fontId="1" fillId="0" borderId="0" xfId="0" applyNumberFormat="1" applyFont="1" applyBorder="1" applyAlignment="1">
      <alignment horizontal="left" vertical="center" wrapText="1"/>
    </xf>
    <xf numFmtId="0" fontId="17" fillId="0" borderId="46" xfId="0" applyFont="1" applyBorder="1" applyAlignment="1">
      <alignment horizontal="center" vertical="center" wrapText="1"/>
    </xf>
    <xf numFmtId="0" fontId="16" fillId="0" borderId="46" xfId="0" applyFont="1" applyBorder="1" applyAlignment="1">
      <alignment horizontal="center" vertical="center"/>
    </xf>
    <xf numFmtId="0" fontId="15" fillId="0" borderId="0" xfId="0" applyFont="1" applyAlignment="1">
      <alignment horizontal="left"/>
    </xf>
    <xf numFmtId="0" fontId="18" fillId="0" borderId="0" xfId="0" applyFont="1"/>
    <xf numFmtId="0" fontId="15" fillId="0" borderId="0" xfId="0" applyFont="1"/>
    <xf numFmtId="0" fontId="18" fillId="0" borderId="0" xfId="0" applyFont="1" applyBorder="1" applyAlignment="1">
      <alignment horizontal="left" vertical="top" wrapText="1"/>
    </xf>
    <xf numFmtId="0" fontId="10" fillId="2" borderId="28" xfId="1" applyFont="1" applyFill="1" applyBorder="1"/>
    <xf numFmtId="3" fontId="10" fillId="2" borderId="28" xfId="1" applyNumberFormat="1" applyFont="1" applyFill="1" applyBorder="1"/>
    <xf numFmtId="4" fontId="10" fillId="2" borderId="29" xfId="1" applyNumberFormat="1" applyFont="1" applyFill="1" applyBorder="1" applyAlignment="1"/>
    <xf numFmtId="0" fontId="10" fillId="2" borderId="0" xfId="1" applyFont="1" applyFill="1" applyBorder="1"/>
    <xf numFmtId="0" fontId="10" fillId="2" borderId="0" xfId="1" applyFont="1" applyFill="1"/>
    <xf numFmtId="0" fontId="1" fillId="0" borderId="53" xfId="0" applyFont="1" applyBorder="1" applyAlignment="1">
      <alignment horizontal="center" vertical="center"/>
    </xf>
    <xf numFmtId="0" fontId="1" fillId="0" borderId="31" xfId="0" applyFont="1" applyBorder="1" applyAlignment="1">
      <alignment horizontal="center" vertical="center"/>
    </xf>
    <xf numFmtId="3" fontId="5" fillId="0" borderId="31" xfId="0" applyNumberFormat="1" applyFont="1" applyBorder="1" applyAlignment="1">
      <alignment horizontal="right" vertical="center" wrapText="1"/>
    </xf>
    <xf numFmtId="0" fontId="0" fillId="0" borderId="53" xfId="0" applyBorder="1"/>
    <xf numFmtId="0" fontId="0" fillId="0" borderId="31" xfId="0" applyBorder="1"/>
    <xf numFmtId="3" fontId="15" fillId="0" borderId="31" xfId="0" applyNumberFormat="1" applyFont="1" applyBorder="1" applyAlignment="1">
      <alignment horizontal="left" vertical="center" wrapText="1"/>
    </xf>
    <xf numFmtId="3" fontId="15" fillId="0" borderId="31" xfId="0" applyNumberFormat="1" applyFont="1" applyBorder="1" applyAlignment="1">
      <alignment horizontal="left"/>
    </xf>
    <xf numFmtId="0" fontId="1" fillId="0" borderId="54" xfId="0" applyFont="1" applyBorder="1" applyAlignment="1">
      <alignment horizontal="center" vertical="center"/>
    </xf>
    <xf numFmtId="0" fontId="1" fillId="0" borderId="55" xfId="0" applyFont="1" applyBorder="1" applyAlignment="1">
      <alignment horizontal="center" vertical="center"/>
    </xf>
    <xf numFmtId="3" fontId="1" fillId="0" borderId="55" xfId="0" applyNumberFormat="1" applyFont="1" applyBorder="1" applyAlignment="1">
      <alignment horizontal="left" vertical="center" wrapText="1"/>
    </xf>
    <xf numFmtId="3" fontId="5" fillId="0" borderId="55" xfId="0" applyNumberFormat="1" applyFont="1" applyBorder="1" applyAlignment="1">
      <alignment horizontal="right" vertical="center" wrapText="1"/>
    </xf>
    <xf numFmtId="4" fontId="5" fillId="0" borderId="56" xfId="0" applyNumberFormat="1" applyFont="1" applyBorder="1" applyAlignment="1">
      <alignment horizontal="right" vertical="center"/>
    </xf>
    <xf numFmtId="0" fontId="10" fillId="2" borderId="24" xfId="1" applyFont="1" applyFill="1" applyBorder="1"/>
    <xf numFmtId="0" fontId="10" fillId="2" borderId="25" xfId="1" applyFont="1" applyFill="1" applyBorder="1"/>
    <xf numFmtId="3" fontId="10" fillId="2" borderId="25" xfId="1" applyNumberFormat="1" applyFont="1" applyFill="1" applyBorder="1"/>
    <xf numFmtId="4" fontId="10" fillId="2" borderId="26" xfId="1" applyNumberFormat="1" applyFont="1" applyFill="1" applyBorder="1" applyAlignment="1"/>
    <xf numFmtId="164" fontId="10" fillId="2" borderId="25" xfId="1" applyNumberFormat="1" applyFont="1" applyFill="1" applyBorder="1"/>
    <xf numFmtId="0" fontId="10" fillId="0" borderId="22" xfId="1" applyFont="1" applyFill="1" applyBorder="1" applyAlignment="1"/>
    <xf numFmtId="0" fontId="10" fillId="0" borderId="17" xfId="1" applyFont="1" applyFill="1" applyBorder="1" applyAlignment="1"/>
    <xf numFmtId="164" fontId="10" fillId="0" borderId="17" xfId="1" applyNumberFormat="1" applyFont="1" applyFill="1" applyBorder="1" applyAlignment="1"/>
    <xf numFmtId="3" fontId="10" fillId="0" borderId="17" xfId="1" applyNumberFormat="1" applyFont="1" applyFill="1" applyBorder="1" applyAlignment="1"/>
    <xf numFmtId="4" fontId="10" fillId="0" borderId="23" xfId="1" applyNumberFormat="1" applyFont="1" applyFill="1" applyBorder="1" applyAlignment="1"/>
    <xf numFmtId="3" fontId="0" fillId="0" borderId="0" xfId="0" applyNumberFormat="1" applyBorder="1" applyAlignment="1">
      <alignment wrapText="1"/>
    </xf>
    <xf numFmtId="0" fontId="0" fillId="0" borderId="0" xfId="0" applyBorder="1"/>
    <xf numFmtId="4" fontId="5" fillId="0" borderId="57" xfId="0" applyNumberFormat="1" applyFont="1" applyBorder="1" applyAlignment="1">
      <alignment horizontal="right" vertical="center"/>
    </xf>
    <xf numFmtId="0" fontId="10" fillId="0" borderId="27" xfId="1" applyFont="1" applyFill="1" applyBorder="1"/>
    <xf numFmtId="164" fontId="10" fillId="0" borderId="28" xfId="1" applyNumberFormat="1" applyFont="1" applyFill="1" applyBorder="1"/>
    <xf numFmtId="3" fontId="5" fillId="0" borderId="47" xfId="0" applyNumberFormat="1" applyFont="1" applyFill="1" applyBorder="1" applyAlignment="1">
      <alignment horizontal="right" vertical="center" wrapText="1"/>
    </xf>
    <xf numFmtId="0" fontId="5" fillId="2" borderId="14" xfId="0" applyFont="1" applyFill="1" applyBorder="1" applyAlignment="1">
      <alignment horizontal="left" vertical="center"/>
    </xf>
    <xf numFmtId="3" fontId="5" fillId="2" borderId="14" xfId="0" applyNumberFormat="1" applyFont="1" applyFill="1" applyBorder="1" applyAlignment="1">
      <alignment horizontal="left" vertical="center" wrapText="1"/>
    </xf>
    <xf numFmtId="3" fontId="5" fillId="2" borderId="14" xfId="0" applyNumberFormat="1" applyFont="1" applyFill="1" applyBorder="1" applyAlignment="1">
      <alignment horizontal="right" vertical="center" wrapText="1"/>
    </xf>
    <xf numFmtId="0" fontId="0" fillId="2" borderId="0" xfId="0" applyFill="1"/>
    <xf numFmtId="3" fontId="5" fillId="0" borderId="0" xfId="0" applyNumberFormat="1" applyFont="1" applyFill="1" applyBorder="1" applyAlignment="1">
      <alignment horizontal="right" vertical="center" wrapText="1"/>
    </xf>
    <xf numFmtId="0" fontId="10" fillId="2" borderId="27" xfId="1" applyFont="1" applyFill="1" applyBorder="1" applyAlignment="1"/>
    <xf numFmtId="0" fontId="10" fillId="2" borderId="28" xfId="1" applyFont="1" applyFill="1" applyBorder="1" applyAlignment="1"/>
    <xf numFmtId="3" fontId="10" fillId="2" borderId="28" xfId="1" applyNumberFormat="1" applyFont="1" applyFill="1" applyBorder="1" applyAlignment="1"/>
    <xf numFmtId="0" fontId="11" fillId="2" borderId="0" xfId="1" applyFont="1" applyFill="1"/>
    <xf numFmtId="3" fontId="15" fillId="0" borderId="47" xfId="0" applyNumberFormat="1" applyFont="1" applyFill="1" applyBorder="1" applyAlignment="1">
      <alignment horizontal="left" vertical="center" wrapText="1"/>
    </xf>
    <xf numFmtId="3" fontId="15" fillId="0" borderId="0" xfId="0" applyNumberFormat="1" applyFont="1" applyFill="1" applyBorder="1" applyAlignment="1">
      <alignment horizontal="left" vertical="center" wrapText="1"/>
    </xf>
    <xf numFmtId="0" fontId="1" fillId="2" borderId="46" xfId="0" applyFont="1" applyFill="1" applyBorder="1" applyAlignment="1">
      <alignment horizontal="center" vertical="center"/>
    </xf>
    <xf numFmtId="0" fontId="1" fillId="2" borderId="47" xfId="0" applyFont="1" applyFill="1" applyBorder="1" applyAlignment="1">
      <alignment horizontal="center" vertical="center"/>
    </xf>
    <xf numFmtId="3" fontId="1" fillId="2" borderId="47" xfId="0" applyNumberFormat="1" applyFont="1" applyFill="1" applyBorder="1" applyAlignment="1">
      <alignment horizontal="left" vertical="center" wrapText="1"/>
    </xf>
    <xf numFmtId="3" fontId="5" fillId="2" borderId="47" xfId="0" applyNumberFormat="1" applyFont="1" applyFill="1" applyBorder="1" applyAlignment="1">
      <alignment horizontal="right" vertical="center" wrapText="1"/>
    </xf>
    <xf numFmtId="4" fontId="5" fillId="2" borderId="48" xfId="0" applyNumberFormat="1" applyFont="1" applyFill="1" applyBorder="1" applyAlignment="1">
      <alignment horizontal="right" vertical="center"/>
    </xf>
    <xf numFmtId="4" fontId="5" fillId="2" borderId="14" xfId="0" applyNumberFormat="1" applyFont="1" applyFill="1" applyBorder="1" applyAlignment="1">
      <alignment horizontal="right"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3" fontId="1" fillId="2" borderId="5" xfId="0" applyNumberFormat="1" applyFont="1" applyFill="1" applyBorder="1" applyAlignment="1">
      <alignment horizontal="left" vertical="center" wrapText="1"/>
    </xf>
    <xf numFmtId="3" fontId="5" fillId="2" borderId="5" xfId="0" applyNumberFormat="1" applyFont="1" applyFill="1" applyBorder="1" applyAlignment="1">
      <alignment horizontal="right" vertical="center" wrapText="1"/>
    </xf>
    <xf numFmtId="0" fontId="10" fillId="2" borderId="27" xfId="1" applyFont="1" applyFill="1" applyBorder="1"/>
    <xf numFmtId="164" fontId="10" fillId="2" borderId="28" xfId="1" applyNumberFormat="1" applyFont="1" applyFill="1" applyBorder="1"/>
    <xf numFmtId="3" fontId="15" fillId="0" borderId="5" xfId="0" applyNumberFormat="1" applyFont="1" applyFill="1" applyBorder="1" applyAlignment="1">
      <alignment horizontal="left" vertical="center" wrapText="1"/>
    </xf>
    <xf numFmtId="4" fontId="15" fillId="0" borderId="6" xfId="0" applyNumberFormat="1" applyFont="1" applyBorder="1" applyAlignment="1">
      <alignment horizontal="left" vertical="center"/>
    </xf>
    <xf numFmtId="4" fontId="15" fillId="0" borderId="0" xfId="0" applyNumberFormat="1" applyFont="1" applyBorder="1" applyAlignment="1">
      <alignment horizontal="left" vertical="center"/>
    </xf>
    <xf numFmtId="3" fontId="18" fillId="0" borderId="0" xfId="0" applyNumberFormat="1" applyFont="1" applyAlignment="1">
      <alignment wrapText="1"/>
    </xf>
    <xf numFmtId="4" fontId="18" fillId="0" borderId="0" xfId="0" applyNumberFormat="1" applyFont="1"/>
    <xf numFmtId="0" fontId="18" fillId="0" borderId="0" xfId="0" applyFont="1" applyBorder="1" applyAlignment="1">
      <alignment horizontal="justify" vertical="top" wrapText="1"/>
    </xf>
    <xf numFmtId="0" fontId="18" fillId="0" borderId="0" xfId="0" applyFont="1" applyAlignment="1">
      <alignment horizontal="left" vertical="center"/>
    </xf>
    <xf numFmtId="0" fontId="5" fillId="0" borderId="0" xfId="0" applyFont="1" applyAlignment="1">
      <alignment horizontal="right" vertical="center"/>
    </xf>
    <xf numFmtId="4" fontId="5" fillId="0" borderId="0" xfId="0" applyNumberFormat="1" applyFont="1" applyAlignment="1">
      <alignment horizontal="right" vertical="center"/>
    </xf>
    <xf numFmtId="3" fontId="18" fillId="0" borderId="0" xfId="0" applyNumberFormat="1" applyFont="1" applyBorder="1" applyAlignment="1">
      <alignment horizontal="justify" vertical="top" wrapText="1"/>
    </xf>
    <xf numFmtId="3" fontId="18" fillId="0" borderId="0" xfId="0" applyNumberFormat="1" applyFont="1" applyBorder="1" applyAlignment="1">
      <alignment horizontal="left" vertical="top" wrapText="1"/>
    </xf>
    <xf numFmtId="3" fontId="18" fillId="0" borderId="0" xfId="0" applyNumberFormat="1" applyFont="1" applyFill="1" applyAlignment="1">
      <alignment wrapText="1"/>
    </xf>
    <xf numFmtId="3" fontId="13" fillId="0" borderId="0" xfId="0" applyNumberFormat="1" applyFont="1" applyAlignment="1">
      <alignment wrapText="1"/>
    </xf>
    <xf numFmtId="0" fontId="18" fillId="0" borderId="0" xfId="0" applyFont="1" applyFill="1"/>
    <xf numFmtId="0" fontId="5" fillId="0" borderId="0" xfId="0" applyFont="1" applyFill="1" applyAlignment="1">
      <alignment horizontal="right" vertical="center"/>
    </xf>
    <xf numFmtId="0" fontId="18" fillId="0" borderId="0" xfId="0" applyFont="1" applyBorder="1"/>
    <xf numFmtId="0" fontId="18" fillId="2" borderId="0" xfId="0" applyFont="1" applyFill="1"/>
    <xf numFmtId="3" fontId="18" fillId="2" borderId="0" xfId="0" applyNumberFormat="1" applyFont="1" applyFill="1" applyBorder="1" applyAlignment="1">
      <alignment horizontal="justify" vertical="top" wrapText="1"/>
    </xf>
    <xf numFmtId="0" fontId="18" fillId="2" borderId="0" xfId="0" applyFont="1" applyFill="1" applyBorder="1" applyAlignment="1">
      <alignment horizontal="justify" vertical="top" wrapText="1"/>
    </xf>
    <xf numFmtId="3" fontId="18" fillId="2" borderId="0" xfId="0" applyNumberFormat="1" applyFont="1" applyFill="1" applyBorder="1" applyAlignment="1">
      <alignment horizontal="left" vertical="top" wrapText="1"/>
    </xf>
    <xf numFmtId="0" fontId="18" fillId="2" borderId="0" xfId="0" applyFont="1" applyFill="1" applyBorder="1" applyAlignment="1">
      <alignment horizontal="left" vertical="top" wrapText="1"/>
    </xf>
    <xf numFmtId="4" fontId="18" fillId="2" borderId="0" xfId="0" applyNumberFormat="1" applyFont="1" applyFill="1"/>
    <xf numFmtId="3" fontId="18" fillId="0" borderId="0" xfId="0" applyNumberFormat="1" applyFont="1" applyBorder="1" applyAlignment="1">
      <alignment horizontal="justify" wrapText="1"/>
    </xf>
    <xf numFmtId="0" fontId="18" fillId="0" borderId="0" xfId="0" applyFont="1" applyBorder="1" applyAlignment="1">
      <alignment horizontal="justify" wrapText="1"/>
    </xf>
    <xf numFmtId="0" fontId="18" fillId="0" borderId="0" xfId="0" applyFont="1" applyAlignment="1">
      <alignment vertical="top"/>
    </xf>
    <xf numFmtId="4" fontId="18" fillId="0" borderId="0" xfId="0" applyNumberFormat="1" applyFont="1" applyBorder="1" applyAlignment="1">
      <alignment horizontal="justify" vertical="top" wrapText="1"/>
    </xf>
    <xf numFmtId="4" fontId="18" fillId="2" borderId="0" xfId="0" applyNumberFormat="1" applyFont="1" applyFill="1" applyBorder="1" applyAlignment="1">
      <alignment horizontal="justify" vertical="top" wrapText="1"/>
    </xf>
    <xf numFmtId="4" fontId="0" fillId="2" borderId="0" xfId="0" applyNumberFormat="1" applyFill="1"/>
    <xf numFmtId="3" fontId="5" fillId="0" borderId="58" xfId="0" applyNumberFormat="1" applyFont="1" applyBorder="1" applyAlignment="1">
      <alignment horizontal="right" vertical="center" wrapText="1"/>
    </xf>
    <xf numFmtId="3" fontId="18" fillId="0" borderId="0" xfId="0" applyNumberFormat="1" applyFont="1" applyBorder="1" applyAlignment="1">
      <alignment horizontal="left" vertical="top" wrapText="1"/>
    </xf>
    <xf numFmtId="0" fontId="0" fillId="0" borderId="0" xfId="0" applyAlignment="1">
      <alignment horizontal="left" wrapText="1"/>
    </xf>
    <xf numFmtId="3" fontId="15" fillId="2" borderId="47" xfId="0" applyNumberFormat="1" applyFont="1" applyFill="1" applyBorder="1" applyAlignment="1">
      <alignment horizontal="left" vertical="center" wrapText="1"/>
    </xf>
    <xf numFmtId="3" fontId="18" fillId="0" borderId="0" xfId="0" applyNumberFormat="1" applyFont="1" applyBorder="1" applyAlignment="1">
      <alignment horizontal="justify" vertical="top" wrapText="1"/>
    </xf>
    <xf numFmtId="0" fontId="18" fillId="0" borderId="0" xfId="0" applyFont="1" applyBorder="1" applyAlignment="1">
      <alignment horizontal="justify" vertical="top" wrapText="1"/>
    </xf>
    <xf numFmtId="3" fontId="18" fillId="2" borderId="0" xfId="0" applyNumberFormat="1" applyFont="1" applyFill="1" applyBorder="1" applyAlignment="1">
      <alignment horizontal="justify" vertical="top" wrapText="1"/>
    </xf>
    <xf numFmtId="0" fontId="18" fillId="2" borderId="0" xfId="0" applyFont="1" applyFill="1" applyBorder="1" applyAlignment="1">
      <alignment horizontal="justify" vertical="top" wrapText="1"/>
    </xf>
    <xf numFmtId="3" fontId="18" fillId="0" borderId="0" xfId="0" applyNumberFormat="1" applyFont="1" applyBorder="1" applyAlignment="1">
      <alignment horizontal="left" vertical="top" wrapText="1"/>
    </xf>
    <xf numFmtId="0" fontId="10" fillId="0" borderId="59" xfId="1" applyFont="1" applyFill="1" applyBorder="1"/>
    <xf numFmtId="3" fontId="10" fillId="0" borderId="22" xfId="1" applyNumberFormat="1" applyFont="1" applyFill="1" applyBorder="1" applyAlignment="1"/>
    <xf numFmtId="3" fontId="10" fillId="2" borderId="24" xfId="1" applyNumberFormat="1" applyFont="1" applyFill="1" applyBorder="1"/>
    <xf numFmtId="3" fontId="10" fillId="0" borderId="24" xfId="1" applyNumberFormat="1" applyFont="1" applyFill="1" applyBorder="1"/>
    <xf numFmtId="3" fontId="10" fillId="0" borderId="24" xfId="1" applyNumberFormat="1" applyFont="1" applyFill="1" applyBorder="1" applyAlignment="1"/>
    <xf numFmtId="3" fontId="10" fillId="0" borderId="60" xfId="1" applyNumberFormat="1" applyFont="1" applyFill="1" applyBorder="1"/>
    <xf numFmtId="3" fontId="10" fillId="0" borderId="38" xfId="1" applyNumberFormat="1" applyFont="1" applyFill="1" applyBorder="1"/>
    <xf numFmtId="0" fontId="6" fillId="0" borderId="61" xfId="1" applyFill="1" applyBorder="1" applyAlignment="1">
      <alignment horizontal="center" vertical="center"/>
    </xf>
    <xf numFmtId="0" fontId="6" fillId="0" borderId="62" xfId="1" applyFill="1" applyBorder="1"/>
    <xf numFmtId="3" fontId="6" fillId="0" borderId="22" xfId="1" applyNumberFormat="1" applyFont="1" applyFill="1" applyBorder="1" applyAlignment="1">
      <alignment horizontal="center" vertical="center" wrapText="1"/>
    </xf>
    <xf numFmtId="3" fontId="6" fillId="0" borderId="60" xfId="1" applyNumberFormat="1" applyFont="1" applyFill="1" applyBorder="1" applyAlignment="1">
      <alignment horizontal="center" vertical="center" wrapText="1"/>
    </xf>
    <xf numFmtId="3" fontId="10" fillId="0" borderId="23" xfId="1" applyNumberFormat="1" applyFont="1" applyFill="1" applyBorder="1"/>
    <xf numFmtId="3" fontId="10" fillId="0" borderId="26" xfId="1" applyNumberFormat="1" applyFont="1" applyFill="1" applyBorder="1"/>
    <xf numFmtId="3" fontId="10" fillId="2" borderId="26" xfId="1" applyNumberFormat="1" applyFont="1" applyFill="1" applyBorder="1"/>
    <xf numFmtId="3" fontId="5" fillId="2" borderId="31" xfId="0" applyNumberFormat="1" applyFont="1" applyFill="1" applyBorder="1" applyAlignment="1">
      <alignment horizontal="right" vertical="center" wrapText="1"/>
    </xf>
    <xf numFmtId="3" fontId="5" fillId="2" borderId="0" xfId="0" applyNumberFormat="1" applyFont="1" applyFill="1" applyBorder="1" applyAlignment="1">
      <alignment horizontal="right" vertical="center" wrapText="1"/>
    </xf>
    <xf numFmtId="3" fontId="18" fillId="0" borderId="0" xfId="0" applyNumberFormat="1" applyFont="1" applyBorder="1" applyAlignment="1">
      <alignment horizontal="left" vertical="top" wrapText="1"/>
    </xf>
    <xf numFmtId="3" fontId="18" fillId="2" borderId="0" xfId="0" applyNumberFormat="1" applyFont="1" applyFill="1" applyBorder="1" applyAlignment="1">
      <alignment horizontal="justify" vertical="top" wrapText="1"/>
    </xf>
    <xf numFmtId="0" fontId="18" fillId="2" borderId="0" xfId="0" applyFont="1" applyFill="1" applyBorder="1" applyAlignment="1">
      <alignment horizontal="justify" vertical="top" wrapText="1"/>
    </xf>
    <xf numFmtId="3" fontId="18" fillId="0" borderId="0" xfId="0" applyNumberFormat="1" applyFont="1" applyBorder="1" applyAlignment="1">
      <alignment horizontal="justify" vertical="top" wrapText="1"/>
    </xf>
    <xf numFmtId="0" fontId="0" fillId="0" borderId="0" xfId="0" applyAlignment="1">
      <alignment horizontal="justify" vertical="top" wrapText="1"/>
    </xf>
    <xf numFmtId="0" fontId="18" fillId="0" borderId="0" xfId="0" applyFont="1" applyBorder="1" applyAlignment="1">
      <alignment horizontal="justify" vertical="top" wrapText="1"/>
    </xf>
    <xf numFmtId="3" fontId="18" fillId="2" borderId="0" xfId="0" applyNumberFormat="1" applyFont="1" applyFill="1" applyBorder="1" applyAlignment="1">
      <alignment horizontal="justify" vertical="top" wrapText="1"/>
    </xf>
    <xf numFmtId="0" fontId="18" fillId="2" borderId="0" xfId="0" applyFont="1" applyFill="1" applyBorder="1" applyAlignment="1">
      <alignment horizontal="justify" vertical="top" wrapText="1"/>
    </xf>
    <xf numFmtId="0" fontId="18" fillId="0" borderId="0" xfId="0" applyFont="1" applyAlignment="1">
      <alignment horizontal="justify" vertical="top" wrapText="1"/>
    </xf>
    <xf numFmtId="0" fontId="11" fillId="2" borderId="0" xfId="1" applyFont="1" applyFill="1" applyBorder="1"/>
    <xf numFmtId="3" fontId="10" fillId="2" borderId="24" xfId="1" applyNumberFormat="1" applyFont="1" applyFill="1" applyBorder="1" applyAlignment="1"/>
    <xf numFmtId="4" fontId="10" fillId="0" borderId="63" xfId="1" applyNumberFormat="1" applyFont="1" applyFill="1" applyBorder="1"/>
    <xf numFmtId="0" fontId="10" fillId="0" borderId="35" xfId="1" applyFont="1" applyFill="1" applyBorder="1" applyAlignment="1">
      <alignment horizontal="left"/>
    </xf>
    <xf numFmtId="0" fontId="10" fillId="0" borderId="32" xfId="1" applyFont="1" applyFill="1" applyBorder="1" applyAlignment="1">
      <alignment horizontal="left"/>
    </xf>
    <xf numFmtId="0" fontId="10" fillId="0" borderId="36" xfId="1" applyFont="1" applyFill="1" applyBorder="1" applyAlignment="1">
      <alignment horizontal="left"/>
    </xf>
    <xf numFmtId="0" fontId="6" fillId="0" borderId="37" xfId="1" applyFill="1" applyBorder="1" applyAlignment="1">
      <alignment horizontal="left"/>
    </xf>
    <xf numFmtId="0" fontId="10" fillId="0" borderId="38" xfId="1" applyFont="1" applyFill="1" applyBorder="1" applyAlignment="1">
      <alignment horizontal="left"/>
    </xf>
    <xf numFmtId="0" fontId="10" fillId="0" borderId="34" xfId="1" applyFont="1" applyFill="1" applyBorder="1" applyAlignment="1">
      <alignment horizontal="left"/>
    </xf>
    <xf numFmtId="0" fontId="6" fillId="0" borderId="39" xfId="1" applyFill="1" applyBorder="1" applyAlignment="1">
      <alignment horizontal="center" vertical="center"/>
    </xf>
    <xf numFmtId="0" fontId="6" fillId="0" borderId="40" xfId="1" applyFill="1" applyBorder="1" applyAlignment="1">
      <alignment horizontal="center" vertical="center"/>
    </xf>
    <xf numFmtId="0" fontId="6" fillId="0" borderId="41" xfId="1" applyFill="1" applyBorder="1" applyAlignment="1">
      <alignment horizontal="center"/>
    </xf>
    <xf numFmtId="0" fontId="6" fillId="0" borderId="42" xfId="1" applyFill="1" applyBorder="1" applyAlignment="1">
      <alignment horizontal="center"/>
    </xf>
    <xf numFmtId="0" fontId="10" fillId="2" borderId="24" xfId="1" applyFont="1" applyFill="1" applyBorder="1" applyAlignment="1">
      <alignment horizontal="left"/>
    </xf>
    <xf numFmtId="0" fontId="10" fillId="2" borderId="25" xfId="1" applyFont="1" applyFill="1" applyBorder="1" applyAlignment="1">
      <alignment horizontal="left"/>
    </xf>
    <xf numFmtId="0" fontId="10" fillId="2" borderId="43" xfId="1" applyFont="1" applyFill="1" applyBorder="1" applyAlignment="1">
      <alignment horizontal="left"/>
    </xf>
    <xf numFmtId="0" fontId="10" fillId="2" borderId="44" xfId="1" applyFont="1" applyFill="1" applyBorder="1" applyAlignment="1">
      <alignment horizontal="left"/>
    </xf>
    <xf numFmtId="0" fontId="10" fillId="0" borderId="27" xfId="1" applyFont="1" applyFill="1" applyBorder="1" applyAlignment="1">
      <alignment horizontal="left"/>
    </xf>
    <xf numFmtId="0" fontId="10" fillId="0" borderId="28" xfId="1" applyFont="1" applyFill="1" applyBorder="1" applyAlignment="1">
      <alignment horizontal="left"/>
    </xf>
    <xf numFmtId="0" fontId="10" fillId="0" borderId="24" xfId="1" applyFont="1" applyFill="1" applyBorder="1" applyAlignment="1">
      <alignment horizontal="left"/>
    </xf>
    <xf numFmtId="0" fontId="10" fillId="0" borderId="25" xfId="1" applyFont="1" applyFill="1" applyBorder="1" applyAlignment="1">
      <alignment horizontal="left"/>
    </xf>
    <xf numFmtId="3" fontId="18" fillId="0" borderId="45" xfId="0" applyNumberFormat="1" applyFont="1" applyBorder="1" applyAlignment="1">
      <alignment horizontal="justify" vertical="top" wrapText="1"/>
    </xf>
    <xf numFmtId="0" fontId="18" fillId="0" borderId="45" xfId="0" applyFont="1" applyBorder="1" applyAlignment="1">
      <alignment horizontal="justify" vertical="top" wrapText="1"/>
    </xf>
    <xf numFmtId="0" fontId="2" fillId="0" borderId="0" xfId="0" applyFont="1" applyAlignment="1">
      <alignment horizontal="left" vertical="top" wrapText="1"/>
    </xf>
    <xf numFmtId="0" fontId="0" fillId="0" borderId="0" xfId="0" applyAlignment="1">
      <alignment horizontal="left" vertical="top" wrapText="1"/>
    </xf>
    <xf numFmtId="3" fontId="18" fillId="0" borderId="45" xfId="0" applyNumberFormat="1" applyFont="1" applyBorder="1" applyAlignment="1">
      <alignment horizontal="left" vertical="top" wrapText="1"/>
    </xf>
    <xf numFmtId="0" fontId="18" fillId="0" borderId="45" xfId="0" applyFont="1" applyBorder="1" applyAlignment="1">
      <alignment horizontal="left" vertical="top" wrapText="1"/>
    </xf>
    <xf numFmtId="3" fontId="18" fillId="0" borderId="45" xfId="0" applyNumberFormat="1" applyFont="1" applyBorder="1" applyAlignment="1">
      <alignment horizontal="justify" wrapText="1"/>
    </xf>
    <xf numFmtId="0" fontId="18" fillId="0" borderId="45" xfId="0" applyFont="1" applyBorder="1" applyAlignment="1">
      <alignment horizontal="justify" wrapText="1"/>
    </xf>
    <xf numFmtId="3" fontId="15" fillId="0" borderId="0" xfId="0" applyNumberFormat="1" applyFont="1" applyBorder="1" applyAlignment="1">
      <alignment horizontal="left" vertical="top" wrapText="1"/>
    </xf>
    <xf numFmtId="0" fontId="15" fillId="0" borderId="0" xfId="0" applyFont="1" applyAlignment="1">
      <alignment horizontal="left" vertical="top" wrapText="1"/>
    </xf>
    <xf numFmtId="3" fontId="18" fillId="0" borderId="0" xfId="0" applyNumberFormat="1" applyFont="1" applyBorder="1" applyAlignment="1">
      <alignment horizontal="justify" vertical="top" wrapText="1"/>
    </xf>
    <xf numFmtId="3" fontId="14" fillId="0" borderId="47" xfId="0" applyNumberFormat="1" applyFont="1" applyBorder="1" applyAlignment="1">
      <alignment horizontal="left" vertical="center" wrapText="1"/>
    </xf>
    <xf numFmtId="0" fontId="0" fillId="0" borderId="0" xfId="0" applyAlignment="1">
      <alignment vertical="center" wrapText="1"/>
    </xf>
    <xf numFmtId="0" fontId="0" fillId="0" borderId="0" xfId="0" applyBorder="1" applyAlignment="1">
      <alignment vertical="center" wrapText="1"/>
    </xf>
    <xf numFmtId="0" fontId="0" fillId="0" borderId="30" xfId="0" applyBorder="1" applyAlignment="1">
      <alignment vertical="center" wrapText="1"/>
    </xf>
    <xf numFmtId="0" fontId="0" fillId="0" borderId="0" xfId="0" applyAlignment="1">
      <alignment horizontal="justify" vertical="top" wrapText="1"/>
    </xf>
    <xf numFmtId="3" fontId="18" fillId="0" borderId="45" xfId="0" applyNumberFormat="1" applyFont="1" applyBorder="1" applyAlignment="1">
      <alignment horizontal="justify" vertical="center" wrapText="1"/>
    </xf>
    <xf numFmtId="0" fontId="0" fillId="0" borderId="45" xfId="0" applyBorder="1" applyAlignment="1">
      <alignment horizontal="justify" vertical="center" wrapText="1"/>
    </xf>
    <xf numFmtId="4" fontId="18" fillId="0" borderId="45" xfId="0" applyNumberFormat="1" applyFont="1" applyBorder="1" applyAlignment="1">
      <alignment horizontal="left" vertical="top" wrapText="1"/>
    </xf>
    <xf numFmtId="3" fontId="18" fillId="2" borderId="45" xfId="0" applyNumberFormat="1" applyFont="1" applyFill="1" applyBorder="1" applyAlignment="1">
      <alignment horizontal="left" vertical="top" wrapText="1"/>
    </xf>
    <xf numFmtId="0" fontId="18" fillId="2" borderId="45" xfId="0" applyFont="1" applyFill="1" applyBorder="1" applyAlignment="1">
      <alignment horizontal="left" vertical="top" wrapText="1"/>
    </xf>
    <xf numFmtId="3" fontId="18" fillId="0" borderId="45" xfId="0" applyNumberFormat="1" applyFont="1" applyFill="1" applyBorder="1" applyAlignment="1">
      <alignment horizontal="left" vertical="top" wrapText="1"/>
    </xf>
    <xf numFmtId="0" fontId="18" fillId="0" borderId="45" xfId="0" applyFont="1" applyFill="1" applyBorder="1" applyAlignment="1">
      <alignment horizontal="left" vertical="top" wrapText="1"/>
    </xf>
    <xf numFmtId="3" fontId="18" fillId="2" borderId="45" xfId="0" applyNumberFormat="1" applyFont="1" applyFill="1" applyBorder="1" applyAlignment="1">
      <alignment horizontal="justify" vertical="top" wrapText="1"/>
    </xf>
    <xf numFmtId="0" fontId="18" fillId="2" borderId="45" xfId="0" applyFont="1" applyFill="1" applyBorder="1" applyAlignment="1">
      <alignment horizontal="justify" vertical="top" wrapText="1"/>
    </xf>
    <xf numFmtId="3" fontId="18" fillId="2" borderId="0" xfId="0" applyNumberFormat="1" applyFont="1" applyFill="1" applyBorder="1" applyAlignment="1">
      <alignment horizontal="justify" vertical="top" wrapText="1"/>
    </xf>
    <xf numFmtId="0" fontId="18" fillId="0" borderId="0" xfId="0" applyFont="1" applyBorder="1" applyAlignment="1">
      <alignment horizontal="justify" vertical="top" wrapText="1"/>
    </xf>
    <xf numFmtId="0" fontId="18" fillId="2" borderId="0" xfId="0" applyFont="1" applyFill="1" applyBorder="1" applyAlignment="1">
      <alignment horizontal="justify" vertical="top" wrapText="1"/>
    </xf>
    <xf numFmtId="0" fontId="0" fillId="2" borderId="45" xfId="0" applyFill="1" applyBorder="1" applyAlignment="1">
      <alignment horizontal="justify" vertical="top" wrapText="1"/>
    </xf>
    <xf numFmtId="3" fontId="14" fillId="0" borderId="31" xfId="0" applyNumberFormat="1" applyFont="1" applyBorder="1" applyAlignment="1">
      <alignment horizontal="left" vertical="center" wrapText="1"/>
    </xf>
    <xf numFmtId="0" fontId="0" fillId="0" borderId="31" xfId="0" applyBorder="1" applyAlignment="1">
      <alignment vertical="center" wrapText="1"/>
    </xf>
    <xf numFmtId="0" fontId="0" fillId="0" borderId="52" xfId="0" applyBorder="1" applyAlignment="1">
      <alignment vertical="center" wrapText="1"/>
    </xf>
    <xf numFmtId="0" fontId="0" fillId="0" borderId="45" xfId="0" applyBorder="1" applyAlignment="1">
      <alignment horizontal="justify" vertical="top" wrapText="1"/>
    </xf>
    <xf numFmtId="3" fontId="15" fillId="0" borderId="0" xfId="0" applyNumberFormat="1" applyFont="1" applyBorder="1" applyAlignment="1">
      <alignment horizontal="left" vertical="center" wrapText="1"/>
    </xf>
    <xf numFmtId="0" fontId="18" fillId="0" borderId="0" xfId="0" applyFont="1" applyBorder="1" applyAlignment="1">
      <alignment vertical="center" wrapText="1"/>
    </xf>
    <xf numFmtId="3" fontId="18" fillId="0" borderId="0" xfId="0" applyNumberFormat="1" applyFont="1" applyBorder="1" applyAlignment="1">
      <alignment horizontal="left" vertical="top" wrapText="1"/>
    </xf>
    <xf numFmtId="3" fontId="14" fillId="2" borderId="47" xfId="0" applyNumberFormat="1" applyFont="1" applyFill="1" applyBorder="1" applyAlignment="1">
      <alignment horizontal="left" vertical="center" wrapText="1"/>
    </xf>
    <xf numFmtId="0" fontId="0" fillId="2" borderId="0" xfId="0" applyFill="1" applyAlignment="1">
      <alignment vertical="center" wrapText="1"/>
    </xf>
    <xf numFmtId="0" fontId="0" fillId="2" borderId="0" xfId="0" applyFill="1" applyBorder="1" applyAlignment="1">
      <alignment vertical="center" wrapText="1"/>
    </xf>
    <xf numFmtId="0" fontId="0" fillId="2" borderId="30" xfId="0" applyFill="1" applyBorder="1" applyAlignment="1">
      <alignment vertical="center" wrapText="1"/>
    </xf>
    <xf numFmtId="3" fontId="15" fillId="2" borderId="0" xfId="0" applyNumberFormat="1" applyFont="1" applyFill="1" applyBorder="1" applyAlignment="1">
      <alignment horizontal="left" vertical="center" wrapText="1"/>
    </xf>
    <xf numFmtId="0" fontId="18" fillId="2" borderId="0" xfId="0" applyFont="1" applyFill="1" applyBorder="1" applyAlignment="1">
      <alignment vertical="center" wrapText="1"/>
    </xf>
    <xf numFmtId="0" fontId="0" fillId="0" borderId="45" xfId="0" applyBorder="1" applyAlignment="1">
      <alignment horizontal="left" vertical="top" wrapText="1"/>
    </xf>
    <xf numFmtId="0" fontId="18" fillId="0" borderId="0" xfId="0" applyFont="1" applyAlignment="1">
      <alignment vertical="top" wrapText="1"/>
    </xf>
    <xf numFmtId="0" fontId="0" fillId="0" borderId="52" xfId="0" applyBorder="1" applyAlignment="1">
      <alignment vertical="center"/>
    </xf>
    <xf numFmtId="0" fontId="18" fillId="0" borderId="0" xfId="0" applyFont="1" applyAlignment="1">
      <alignment horizontal="justify" vertical="top" wrapText="1"/>
    </xf>
    <xf numFmtId="0" fontId="0" fillId="0" borderId="0" xfId="0" applyAlignment="1">
      <alignment horizontal="left" vertical="center" wrapText="1"/>
    </xf>
    <xf numFmtId="0" fontId="0" fillId="0" borderId="30" xfId="0" applyBorder="1" applyAlignment="1">
      <alignment horizontal="left" vertical="center" wrapText="1"/>
    </xf>
    <xf numFmtId="0" fontId="18" fillId="0" borderId="0" xfId="0" applyFont="1" applyBorder="1" applyAlignment="1">
      <alignment wrapText="1"/>
    </xf>
    <xf numFmtId="0" fontId="18" fillId="0" borderId="0" xfId="0" applyFont="1" applyAlignment="1">
      <alignment wrapText="1"/>
    </xf>
  </cellXfs>
  <cellStyles count="2">
    <cellStyle name="Normální" xfId="0" builtinId="0"/>
    <cellStyle name="Normální 2" xfId="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L28"/>
  <sheetViews>
    <sheetView showGridLines="0" view="pageBreakPreview" zoomScaleNormal="100" zoomScaleSheetLayoutView="100" workbookViewId="0">
      <selection activeCell="D6" sqref="D6"/>
    </sheetView>
  </sheetViews>
  <sheetFormatPr defaultRowHeight="12.75" x14ac:dyDescent="0.2"/>
  <cols>
    <col min="1" max="1" width="9.140625" style="35"/>
    <col min="2" max="2" width="35.42578125" style="35" customWidth="1"/>
    <col min="3" max="3" width="5.5703125" style="35" customWidth="1"/>
    <col min="4" max="6" width="15.42578125" style="35" customWidth="1"/>
    <col min="7" max="7" width="15.42578125" style="36" customWidth="1"/>
    <col min="8" max="8" width="9.28515625" style="37" bestFit="1" customWidth="1"/>
    <col min="9" max="9" width="1.5703125" style="35" customWidth="1"/>
    <col min="10" max="10" width="14" style="35" hidden="1" customWidth="1"/>
    <col min="11" max="11" width="10.7109375" style="35" hidden="1" customWidth="1"/>
    <col min="12" max="16384" width="9.140625" style="35"/>
  </cols>
  <sheetData>
    <row r="1" spans="1:11" ht="20.25" x14ac:dyDescent="0.3">
      <c r="A1" s="34" t="s">
        <v>403</v>
      </c>
    </row>
    <row r="2" spans="1:11" ht="15.75" x14ac:dyDescent="0.25">
      <c r="A2" s="38"/>
    </row>
    <row r="3" spans="1:11" ht="15.75" x14ac:dyDescent="0.25">
      <c r="A3" s="38" t="s">
        <v>388</v>
      </c>
    </row>
    <row r="4" spans="1:11" ht="13.5" thickBot="1" x14ac:dyDescent="0.25">
      <c r="H4" s="37" t="s">
        <v>389</v>
      </c>
    </row>
    <row r="5" spans="1:11" ht="39" thickTop="1" x14ac:dyDescent="0.2">
      <c r="A5" s="253" t="s">
        <v>390</v>
      </c>
      <c r="B5" s="254"/>
      <c r="C5" s="39" t="s">
        <v>391</v>
      </c>
      <c r="D5" s="40" t="s">
        <v>9</v>
      </c>
      <c r="E5" s="40" t="s">
        <v>10</v>
      </c>
      <c r="F5" s="40" t="s">
        <v>11</v>
      </c>
      <c r="G5" s="41" t="s">
        <v>12</v>
      </c>
      <c r="H5" s="42" t="s">
        <v>13</v>
      </c>
      <c r="I5" s="43"/>
      <c r="J5" s="228" t="s">
        <v>674</v>
      </c>
      <c r="K5" s="226" t="s">
        <v>668</v>
      </c>
    </row>
    <row r="6" spans="1:11" ht="13.5" thickBot="1" x14ac:dyDescent="0.25">
      <c r="A6" s="255">
        <v>1</v>
      </c>
      <c r="B6" s="256"/>
      <c r="C6" s="44">
        <v>2</v>
      </c>
      <c r="D6" s="45">
        <v>3</v>
      </c>
      <c r="E6" s="46">
        <v>4</v>
      </c>
      <c r="F6" s="46">
        <v>5</v>
      </c>
      <c r="G6" s="45">
        <v>6</v>
      </c>
      <c r="H6" s="47" t="s">
        <v>631</v>
      </c>
      <c r="I6" s="43"/>
      <c r="J6" s="229">
        <v>8</v>
      </c>
      <c r="K6" s="227" t="s">
        <v>669</v>
      </c>
    </row>
    <row r="7" spans="1:11" s="48" customFormat="1" ht="18" customHeight="1" thickTop="1" x14ac:dyDescent="0.25">
      <c r="A7" s="148" t="s">
        <v>313</v>
      </c>
      <c r="B7" s="149"/>
      <c r="C7" s="150">
        <v>1</v>
      </c>
      <c r="D7" s="151">
        <f>SUM('ORJ - 01'!G45)</f>
        <v>39088</v>
      </c>
      <c r="E7" s="151">
        <f>SUM('ORJ - 01'!H45)</f>
        <v>38388</v>
      </c>
      <c r="F7" s="151">
        <f>SUM('ORJ - 01'!I45)</f>
        <v>17828.25</v>
      </c>
      <c r="G7" s="151">
        <f>SUM('ORJ - 01'!J45)</f>
        <v>37238</v>
      </c>
      <c r="H7" s="152">
        <f>G7/D7*100</f>
        <v>95.267089643880482</v>
      </c>
      <c r="J7" s="220">
        <v>38588</v>
      </c>
      <c r="K7" s="230">
        <f>G7-J7</f>
        <v>-1350</v>
      </c>
    </row>
    <row r="8" spans="1:11" s="130" customFormat="1" ht="18" customHeight="1" x14ac:dyDescent="0.25">
      <c r="A8" s="143" t="s">
        <v>282</v>
      </c>
      <c r="B8" s="144"/>
      <c r="C8" s="147">
        <v>2</v>
      </c>
      <c r="D8" s="145">
        <f>SUM('ORJ - 02'!G79)</f>
        <v>67241</v>
      </c>
      <c r="E8" s="145">
        <f>SUM('ORJ - 02'!H79)</f>
        <v>72492.94</v>
      </c>
      <c r="F8" s="145">
        <f>SUM('ORJ - 02'!I79)</f>
        <v>45309.69</v>
      </c>
      <c r="G8" s="145">
        <f>SUM('ORJ - 02'!J79)</f>
        <v>51891</v>
      </c>
      <c r="H8" s="146">
        <f>G8/D8*100</f>
        <v>77.171666096577979</v>
      </c>
      <c r="J8" s="221">
        <v>59341</v>
      </c>
      <c r="K8" s="231">
        <f>G8-J8</f>
        <v>-7450</v>
      </c>
    </row>
    <row r="9" spans="1:11" s="130" customFormat="1" ht="18" customHeight="1" x14ac:dyDescent="0.25">
      <c r="A9" s="143" t="s">
        <v>239</v>
      </c>
      <c r="B9" s="144"/>
      <c r="C9" s="147">
        <v>3</v>
      </c>
      <c r="D9" s="145">
        <f>SUM('ORJ - 03'!G51)</f>
        <v>303250</v>
      </c>
      <c r="E9" s="145">
        <f>SUM('ORJ - 03'!H51)</f>
        <v>300213.05000000005</v>
      </c>
      <c r="F9" s="145">
        <f>SUM('ORJ - 03'!I51)</f>
        <v>188063.46999999997</v>
      </c>
      <c r="G9" s="145">
        <f>SUM('ORJ - 03'!J51)</f>
        <v>297031</v>
      </c>
      <c r="H9" s="146">
        <f>G9/D9*100</f>
        <v>97.949216817807098</v>
      </c>
      <c r="J9" s="221">
        <v>302250</v>
      </c>
      <c r="K9" s="231">
        <f t="shared" ref="K9:K23" si="0">G9-J9</f>
        <v>-5219</v>
      </c>
    </row>
    <row r="10" spans="1:11" s="130" customFormat="1" ht="18" customHeight="1" x14ac:dyDescent="0.25">
      <c r="A10" s="257" t="s">
        <v>392</v>
      </c>
      <c r="B10" s="258"/>
      <c r="C10" s="147">
        <v>4</v>
      </c>
      <c r="D10" s="145">
        <f>SUM('ORJ - 04'!G26)</f>
        <v>34765</v>
      </c>
      <c r="E10" s="145">
        <f>SUM('ORJ - 04'!H26)</f>
        <v>25054.65</v>
      </c>
      <c r="F10" s="145">
        <f>SUM('ORJ - 04'!I26)</f>
        <v>17183.43</v>
      </c>
      <c r="G10" s="145">
        <f>SUM('ORJ - 04'!J26)</f>
        <v>24165</v>
      </c>
      <c r="H10" s="146">
        <f t="shared" ref="H10:H23" si="1">G10/D10*100</f>
        <v>69.509564216884797</v>
      </c>
      <c r="J10" s="221">
        <v>24165</v>
      </c>
      <c r="K10" s="231">
        <f t="shared" si="0"/>
        <v>0</v>
      </c>
    </row>
    <row r="11" spans="1:11" s="130" customFormat="1" ht="18" customHeight="1" x14ac:dyDescent="0.25">
      <c r="A11" s="143" t="s">
        <v>393</v>
      </c>
      <c r="B11" s="144"/>
      <c r="C11" s="147">
        <v>5</v>
      </c>
      <c r="D11" s="145">
        <f>SUM('ORJ - 05'!G12)</f>
        <v>50</v>
      </c>
      <c r="E11" s="145">
        <f>SUM('ORJ - 05'!H12)</f>
        <v>50</v>
      </c>
      <c r="F11" s="145">
        <f>SUM('ORJ - 05'!I12)</f>
        <v>2.4</v>
      </c>
      <c r="G11" s="145">
        <f>SUM('ORJ - 05'!J12)</f>
        <v>80</v>
      </c>
      <c r="H11" s="146">
        <f t="shared" si="1"/>
        <v>160</v>
      </c>
      <c r="J11" s="221">
        <v>80</v>
      </c>
      <c r="K11" s="231">
        <f t="shared" si="0"/>
        <v>0</v>
      </c>
    </row>
    <row r="12" spans="1:11" s="130" customFormat="1" ht="18" customHeight="1" x14ac:dyDescent="0.25">
      <c r="A12" s="143" t="s">
        <v>224</v>
      </c>
      <c r="B12" s="144"/>
      <c r="C12" s="147">
        <v>6</v>
      </c>
      <c r="D12" s="145">
        <f>SUM('ORJ - 06'!G19)</f>
        <v>23969</v>
      </c>
      <c r="E12" s="145">
        <f>SUM('ORJ - 06'!H19)</f>
        <v>23069</v>
      </c>
      <c r="F12" s="145">
        <f>SUM('ORJ - 06'!I19)</f>
        <v>9871.8700000000008</v>
      </c>
      <c r="G12" s="145">
        <f>SUM('ORJ - 06'!J19)</f>
        <v>23369</v>
      </c>
      <c r="H12" s="146">
        <f t="shared" si="1"/>
        <v>97.496766656931868</v>
      </c>
      <c r="J12" s="221">
        <v>23969</v>
      </c>
      <c r="K12" s="232">
        <f t="shared" si="0"/>
        <v>-600</v>
      </c>
    </row>
    <row r="13" spans="1:11" s="130" customFormat="1" ht="18" customHeight="1" x14ac:dyDescent="0.25">
      <c r="A13" s="180" t="s">
        <v>394</v>
      </c>
      <c r="B13" s="126"/>
      <c r="C13" s="181">
        <v>7</v>
      </c>
      <c r="D13" s="127">
        <f>SUM('ORJ - 07'!G27)</f>
        <v>155978</v>
      </c>
      <c r="E13" s="127">
        <f>SUM('ORJ - 07'!H27)</f>
        <v>174965.55000000002</v>
      </c>
      <c r="F13" s="127">
        <f>SUM('ORJ - 07'!I27)</f>
        <v>37123.86</v>
      </c>
      <c r="G13" s="127">
        <f>SUM('ORJ - 07'!J27)</f>
        <v>175134</v>
      </c>
      <c r="H13" s="128">
        <f t="shared" si="1"/>
        <v>112.28121914628986</v>
      </c>
      <c r="J13" s="221">
        <v>186098</v>
      </c>
      <c r="K13" s="231">
        <f t="shared" si="0"/>
        <v>-10964</v>
      </c>
    </row>
    <row r="14" spans="1:11" s="167" customFormat="1" ht="18" customHeight="1" x14ac:dyDescent="0.25">
      <c r="A14" s="164" t="s">
        <v>395</v>
      </c>
      <c r="B14" s="165"/>
      <c r="C14" s="147">
        <v>8</v>
      </c>
      <c r="D14" s="166">
        <f>SUM('ORJ - 08'!G82)</f>
        <v>79494</v>
      </c>
      <c r="E14" s="166">
        <f>SUM('ORJ - 08'!H82)</f>
        <v>83053.2</v>
      </c>
      <c r="F14" s="166">
        <f>SUM('ORJ - 08'!I82)</f>
        <v>71182.950000000012</v>
      </c>
      <c r="G14" s="166">
        <f>SUM('ORJ - 08'!J82)</f>
        <v>96295</v>
      </c>
      <c r="H14" s="146">
        <f t="shared" si="1"/>
        <v>121.13492842227087</v>
      </c>
      <c r="I14" s="244"/>
      <c r="J14" s="245">
        <v>115005</v>
      </c>
      <c r="K14" s="232">
        <f t="shared" si="0"/>
        <v>-18710</v>
      </c>
    </row>
    <row r="15" spans="1:11" s="59" customFormat="1" ht="18" customHeight="1" x14ac:dyDescent="0.25">
      <c r="A15" s="156" t="s">
        <v>396</v>
      </c>
      <c r="B15" s="52"/>
      <c r="C15" s="157">
        <v>9</v>
      </c>
      <c r="D15" s="53">
        <f>SUM('ORJ - 09'!G51)</f>
        <v>25202</v>
      </c>
      <c r="E15" s="53">
        <f>SUM('ORJ - 09'!H51)</f>
        <v>31267.82</v>
      </c>
      <c r="F15" s="53">
        <f>SUM('ORJ - 09'!I51)</f>
        <v>16077</v>
      </c>
      <c r="G15" s="127">
        <f>SUM('ORJ - 09'!J51)</f>
        <v>23357</v>
      </c>
      <c r="H15" s="146">
        <f t="shared" si="1"/>
        <v>92.679152448218389</v>
      </c>
      <c r="I15" s="129"/>
      <c r="J15" s="221">
        <v>27857</v>
      </c>
      <c r="K15" s="232">
        <f t="shared" si="0"/>
        <v>-4500</v>
      </c>
    </row>
    <row r="16" spans="1:11" s="129" customFormat="1" ht="18" customHeight="1" x14ac:dyDescent="0.25">
      <c r="A16" s="180" t="s">
        <v>138</v>
      </c>
      <c r="B16" s="126"/>
      <c r="C16" s="126">
        <v>10</v>
      </c>
      <c r="D16" s="127">
        <f>SUM('ORJ - 10'!G81)</f>
        <v>77076</v>
      </c>
      <c r="E16" s="127">
        <f>SUM('ORJ - 10'!H81)</f>
        <v>82313.11</v>
      </c>
      <c r="F16" s="127">
        <f>SUM('ORJ - 10'!I81)</f>
        <v>71853.219999999987</v>
      </c>
      <c r="G16" s="127">
        <f>SUM('ORJ - 10'!J81)</f>
        <v>79246</v>
      </c>
      <c r="H16" s="146">
        <f t="shared" si="1"/>
        <v>102.81540297887798</v>
      </c>
      <c r="J16" s="221">
        <v>92496</v>
      </c>
      <c r="K16" s="232">
        <f t="shared" si="0"/>
        <v>-13250</v>
      </c>
    </row>
    <row r="17" spans="1:12" s="130" customFormat="1" ht="18" customHeight="1" x14ac:dyDescent="0.25">
      <c r="A17" s="143" t="s">
        <v>397</v>
      </c>
      <c r="B17" s="144"/>
      <c r="C17" s="144">
        <v>11</v>
      </c>
      <c r="D17" s="145">
        <f>SUM('ORJ - 11'!G67)</f>
        <v>9968</v>
      </c>
      <c r="E17" s="145">
        <f>SUM('ORJ - 11'!H67)</f>
        <v>12396.779999999999</v>
      </c>
      <c r="F17" s="145">
        <f>SUM('ORJ - 11'!I67)</f>
        <v>6573.1200000000008</v>
      </c>
      <c r="G17" s="145">
        <f>SUM('ORJ - 11'!J67)</f>
        <v>9583</v>
      </c>
      <c r="H17" s="146">
        <f t="shared" si="1"/>
        <v>96.137640449438194</v>
      </c>
      <c r="J17" s="221">
        <v>9789</v>
      </c>
      <c r="K17" s="232">
        <f t="shared" si="0"/>
        <v>-206</v>
      </c>
    </row>
    <row r="18" spans="1:12" s="130" customFormat="1" ht="18" customHeight="1" x14ac:dyDescent="0.25">
      <c r="A18" s="259" t="s">
        <v>398</v>
      </c>
      <c r="B18" s="260"/>
      <c r="C18" s="126">
        <v>12</v>
      </c>
      <c r="D18" s="127">
        <f>SUM('ORJ - 12'!G39)</f>
        <v>781160</v>
      </c>
      <c r="E18" s="127">
        <f>SUM('ORJ - 12'!H39)</f>
        <v>781610</v>
      </c>
      <c r="F18" s="127">
        <f>SUM('ORJ - 12'!I39)</f>
        <v>577900.71000000008</v>
      </c>
      <c r="G18" s="127">
        <f>SUM('ORJ - 12'!J39)</f>
        <v>788594</v>
      </c>
      <c r="H18" s="128">
        <f t="shared" si="1"/>
        <v>100.95166163141994</v>
      </c>
      <c r="I18" s="129"/>
      <c r="J18" s="221">
        <v>800194</v>
      </c>
      <c r="K18" s="231">
        <f t="shared" si="0"/>
        <v>-11600</v>
      </c>
    </row>
    <row r="19" spans="1:12" s="48" customFormat="1" ht="18" customHeight="1" x14ac:dyDescent="0.25">
      <c r="A19" s="261" t="s">
        <v>102</v>
      </c>
      <c r="B19" s="262"/>
      <c r="C19" s="52">
        <v>13</v>
      </c>
      <c r="D19" s="53">
        <f>SUM('ORJ - 13'!G44)</f>
        <v>67700</v>
      </c>
      <c r="E19" s="53">
        <f>SUM('ORJ - 13'!H44)</f>
        <v>68750</v>
      </c>
      <c r="F19" s="53">
        <f>SUM('ORJ - 13'!I44)</f>
        <v>48206.15</v>
      </c>
      <c r="G19" s="53">
        <f>SUM('ORJ - 13'!J44)</f>
        <v>67080.100000000006</v>
      </c>
      <c r="H19" s="54">
        <f t="shared" si="1"/>
        <v>99.084342688330878</v>
      </c>
      <c r="J19" s="222">
        <v>67480</v>
      </c>
      <c r="K19" s="231">
        <f t="shared" si="0"/>
        <v>-399.89999999999418</v>
      </c>
    </row>
    <row r="20" spans="1:12" s="59" customFormat="1" ht="18" customHeight="1" thickBot="1" x14ac:dyDescent="0.3">
      <c r="A20" s="55" t="s">
        <v>399</v>
      </c>
      <c r="B20" s="56"/>
      <c r="C20" s="56">
        <v>14</v>
      </c>
      <c r="D20" s="57">
        <f>SUM('ORJ - 14'!G43)</f>
        <v>29748</v>
      </c>
      <c r="E20" s="57">
        <f>SUM('ORJ - 14'!H43)</f>
        <v>30419.38</v>
      </c>
      <c r="F20" s="57">
        <f>SUM('ORJ - 14'!I43)</f>
        <v>23092.53</v>
      </c>
      <c r="G20" s="57">
        <f>SUM('ORJ - 14'!J43)</f>
        <v>27308</v>
      </c>
      <c r="H20" s="51">
        <f t="shared" si="1"/>
        <v>91.797767917170901</v>
      </c>
      <c r="J20" s="223">
        <v>27308</v>
      </c>
      <c r="K20" s="231">
        <f t="shared" si="0"/>
        <v>0</v>
      </c>
    </row>
    <row r="21" spans="1:12" s="48" customFormat="1" ht="18" customHeight="1" thickTop="1" thickBot="1" x14ac:dyDescent="0.3">
      <c r="A21" s="263" t="s">
        <v>74</v>
      </c>
      <c r="B21" s="264"/>
      <c r="C21" s="49">
        <v>15</v>
      </c>
      <c r="D21" s="50">
        <f>SUM('ORJ - 15'!G12)</f>
        <v>40</v>
      </c>
      <c r="E21" s="50">
        <f>SUM('ORJ - 15'!H12)</f>
        <v>20</v>
      </c>
      <c r="F21" s="50">
        <f>SUM('ORJ - 15'!I12)</f>
        <v>0</v>
      </c>
      <c r="G21" s="50">
        <f>SUM('ORJ - 15'!J12)</f>
        <v>20</v>
      </c>
      <c r="H21" s="51">
        <f t="shared" si="1"/>
        <v>50</v>
      </c>
      <c r="J21" s="222">
        <v>20</v>
      </c>
      <c r="K21" s="231">
        <f t="shared" si="0"/>
        <v>0</v>
      </c>
      <c r="L21" s="219"/>
    </row>
    <row r="22" spans="1:12" s="48" customFormat="1" ht="18" customHeight="1" thickTop="1" x14ac:dyDescent="0.25">
      <c r="A22" s="247" t="s">
        <v>400</v>
      </c>
      <c r="B22" s="248"/>
      <c r="C22" s="60">
        <v>16</v>
      </c>
      <c r="D22" s="61">
        <f>SUM('ORJ - 16'!G11)</f>
        <v>20</v>
      </c>
      <c r="E22" s="61">
        <f>SUM('ORJ - 16'!H11)</f>
        <v>0</v>
      </c>
      <c r="F22" s="61">
        <f>SUM('ORJ - 16'!I11)</f>
        <v>0</v>
      </c>
      <c r="G22" s="61">
        <f>SUM('ORJ - 16'!J11)</f>
        <v>20</v>
      </c>
      <c r="H22" s="51">
        <f t="shared" si="1"/>
        <v>100</v>
      </c>
      <c r="J22" s="222">
        <v>20</v>
      </c>
      <c r="K22" s="231">
        <f t="shared" si="0"/>
        <v>0</v>
      </c>
    </row>
    <row r="23" spans="1:12" s="48" customFormat="1" ht="18" customHeight="1" thickBot="1" x14ac:dyDescent="0.3">
      <c r="A23" s="249" t="s">
        <v>401</v>
      </c>
      <c r="B23" s="250"/>
      <c r="C23" s="62">
        <v>17</v>
      </c>
      <c r="D23" s="63">
        <f>SUM('ORJ - 17'!G15)</f>
        <v>1600</v>
      </c>
      <c r="E23" s="63">
        <f>SUM('ORJ - 17'!H15)</f>
        <v>3711.5</v>
      </c>
      <c r="F23" s="63">
        <f>SUM('ORJ - 17'!I15)</f>
        <v>133.9</v>
      </c>
      <c r="G23" s="63">
        <f>SUM('ORJ - 17'!J15)</f>
        <v>1750</v>
      </c>
      <c r="H23" s="64">
        <f t="shared" si="1"/>
        <v>109.375</v>
      </c>
      <c r="J23" s="224">
        <v>1750</v>
      </c>
      <c r="K23" s="231">
        <f t="shared" si="0"/>
        <v>0</v>
      </c>
    </row>
    <row r="24" spans="1:12" s="58" customFormat="1" ht="21" customHeight="1" thickTop="1" thickBot="1" x14ac:dyDescent="0.3">
      <c r="A24" s="251" t="s">
        <v>402</v>
      </c>
      <c r="B24" s="252"/>
      <c r="C24" s="252"/>
      <c r="D24" s="65">
        <f>SUM(D7:D13,D14,D15,D16,D17,D18,D19,D20,D21,D22,D23)</f>
        <v>1696349</v>
      </c>
      <c r="E24" s="65">
        <f>SUM(E7:E13,E14,E15,E16,E17,E18,E19,E20,E21,E22,E23)</f>
        <v>1727774.98</v>
      </c>
      <c r="F24" s="65">
        <f>SUM(F7:F13,F14,F15,F16,F17,F18,F19,F20,F21,F22,F23)</f>
        <v>1130402.5499999998</v>
      </c>
      <c r="G24" s="65">
        <f>SUM(G7:G13,G14,G15,G16,G17,G18,G19,G20,G21,G22,G23)</f>
        <v>1702161.1</v>
      </c>
      <c r="H24" s="246">
        <f>G24/D24*100</f>
        <v>100.34262407087222</v>
      </c>
      <c r="I24" s="66"/>
      <c r="J24" s="225">
        <f>SUM(J7:J13,J14,J15,J16,J17,J18,J19,J20,J21,J22,J23)</f>
        <v>1776410</v>
      </c>
      <c r="K24" s="225">
        <f>SUM(K7:K13,K14,K15,K16,K17,K18,K19,K20,K21,K22,K23)</f>
        <v>-74248.899999999994</v>
      </c>
    </row>
    <row r="25" spans="1:12" s="58" customFormat="1" ht="9.75" customHeight="1" thickTop="1" x14ac:dyDescent="0.2">
      <c r="D25" s="66"/>
      <c r="E25" s="66"/>
      <c r="F25" s="66"/>
      <c r="G25" s="66"/>
      <c r="H25" s="67"/>
    </row>
    <row r="26" spans="1:12" x14ac:dyDescent="0.2">
      <c r="D26" s="68"/>
      <c r="E26" s="68"/>
      <c r="F26" s="68"/>
      <c r="G26" s="68"/>
    </row>
    <row r="28" spans="1:12" x14ac:dyDescent="0.2">
      <c r="D28" s="68"/>
    </row>
  </sheetData>
  <mergeCells count="9">
    <mergeCell ref="A22:B22"/>
    <mergeCell ref="A23:B23"/>
    <mergeCell ref="A24:C24"/>
    <mergeCell ref="A5:B5"/>
    <mergeCell ref="A6:B6"/>
    <mergeCell ref="A10:B10"/>
    <mergeCell ref="A18:B18"/>
    <mergeCell ref="A19:B19"/>
    <mergeCell ref="A21:B21"/>
  </mergeCells>
  <pageMargins left="0.78740157480314965" right="0.59055118110236227" top="0.98425196850393704" bottom="0.98425196850393704" header="0.51181102362204722" footer="0.51181102362204722"/>
  <pageSetup paperSize="9" firstPageNumber="22" orientation="landscape" useFirstPageNumber="1" r:id="rId1"/>
  <headerFooter alignWithMargins="0">
    <oddFooter>&amp;L&amp;"Arial CE,Kurzíva"Zastupitelstvo Olomouckého kraje 16-12-2011
6. - Rozpočet Olomouckého kraje 2012 - návrh rozpočtu 
Příloha č. 3a): Výdaje odborů (kanceláří)&amp;R&amp;"Arial CE,Kurzíva"Strana &amp;P (celkem 167)</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pageSetUpPr fitToPage="1"/>
  </sheetPr>
  <dimension ref="B2:K130"/>
  <sheetViews>
    <sheetView showGridLines="0" view="pageBreakPreview" topLeftCell="A103" zoomScaleNormal="100" zoomScaleSheetLayoutView="100" workbookViewId="0">
      <selection activeCell="B117" sqref="B117:K117"/>
    </sheetView>
  </sheetViews>
  <sheetFormatPr defaultRowHeight="12.75" x14ac:dyDescent="0.2"/>
  <cols>
    <col min="1" max="1" width="0.85546875" customWidth="1"/>
    <col min="2" max="3" width="4.7109375" customWidth="1"/>
    <col min="4" max="4" width="9.7109375" customWidth="1"/>
    <col min="5" max="5" width="11.7109375" customWidth="1"/>
    <col min="6" max="6" width="37.7109375" customWidth="1"/>
    <col min="7" max="10" width="10.7109375" customWidth="1"/>
    <col min="11" max="11" width="7.7109375" style="107" customWidth="1"/>
  </cols>
  <sheetData>
    <row r="2" spans="2:11" ht="24.95" customHeight="1" x14ac:dyDescent="0.2">
      <c r="B2" s="267" t="s">
        <v>313</v>
      </c>
      <c r="C2" s="268"/>
      <c r="D2" s="268"/>
      <c r="E2" s="268"/>
      <c r="F2" s="268"/>
      <c r="G2" s="3"/>
      <c r="H2" s="3"/>
      <c r="I2" s="3"/>
      <c r="J2" s="3"/>
      <c r="K2" s="98" t="s">
        <v>314</v>
      </c>
    </row>
    <row r="5" spans="2:11" s="123" customFormat="1" ht="15" x14ac:dyDescent="0.2">
      <c r="B5" s="188" t="s">
        <v>0</v>
      </c>
      <c r="C5" s="188"/>
      <c r="D5" s="188" t="s">
        <v>284</v>
      </c>
      <c r="E5" s="189"/>
      <c r="F5" s="189"/>
      <c r="G5" s="189"/>
      <c r="H5" s="189"/>
      <c r="I5" s="189"/>
      <c r="J5" s="189"/>
      <c r="K5" s="190"/>
    </row>
    <row r="6" spans="2:11" s="123" customFormat="1" ht="15" x14ac:dyDescent="0.2">
      <c r="B6" s="188"/>
      <c r="C6" s="188"/>
      <c r="D6" s="188" t="s">
        <v>2</v>
      </c>
      <c r="E6" s="189"/>
      <c r="F6" s="189"/>
      <c r="G6" s="189"/>
      <c r="H6" s="189"/>
      <c r="I6" s="189"/>
      <c r="J6" s="189"/>
      <c r="K6" s="190"/>
    </row>
    <row r="7" spans="2:11" ht="13.5" thickBot="1" x14ac:dyDescent="0.25">
      <c r="B7" s="5"/>
      <c r="C7" s="5"/>
      <c r="D7" s="5"/>
      <c r="E7" s="5"/>
      <c r="F7" s="5"/>
      <c r="G7" s="5"/>
      <c r="H7" s="5"/>
      <c r="I7" s="5"/>
      <c r="J7" s="5"/>
      <c r="K7" s="99" t="s">
        <v>3</v>
      </c>
    </row>
    <row r="8" spans="2:11" ht="35.1" customHeight="1" x14ac:dyDescent="0.2">
      <c r="B8" s="7" t="s">
        <v>4</v>
      </c>
      <c r="C8" s="8" t="s">
        <v>5</v>
      </c>
      <c r="D8" s="8" t="s">
        <v>6</v>
      </c>
      <c r="E8" s="8" t="s">
        <v>7</v>
      </c>
      <c r="F8" s="6" t="s">
        <v>8</v>
      </c>
      <c r="G8" s="6" t="s">
        <v>9</v>
      </c>
      <c r="H8" s="6" t="s">
        <v>10</v>
      </c>
      <c r="I8" s="6" t="s">
        <v>11</v>
      </c>
      <c r="J8" s="6" t="s">
        <v>12</v>
      </c>
      <c r="K8" s="100" t="s">
        <v>13</v>
      </c>
    </row>
    <row r="9" spans="2:11" ht="13.5" thickBot="1" x14ac:dyDescent="0.25">
      <c r="B9" s="10">
        <v>1</v>
      </c>
      <c r="C9" s="11">
        <v>2</v>
      </c>
      <c r="D9" s="11">
        <v>3</v>
      </c>
      <c r="E9" s="11">
        <v>4</v>
      </c>
      <c r="F9" s="12">
        <v>5</v>
      </c>
      <c r="G9" s="12">
        <v>6</v>
      </c>
      <c r="H9" s="12">
        <v>7</v>
      </c>
      <c r="I9" s="12">
        <v>8</v>
      </c>
      <c r="J9" s="12">
        <v>9</v>
      </c>
      <c r="K9" s="101" t="s">
        <v>14</v>
      </c>
    </row>
    <row r="10" spans="2:11" ht="15" x14ac:dyDescent="0.2">
      <c r="B10" s="88">
        <v>6113</v>
      </c>
      <c r="C10" s="89">
        <v>5019</v>
      </c>
      <c r="D10" s="89">
        <v>0</v>
      </c>
      <c r="E10" s="89">
        <v>11000000000</v>
      </c>
      <c r="F10" s="90" t="s">
        <v>142</v>
      </c>
      <c r="G10" s="91">
        <v>200</v>
      </c>
      <c r="H10" s="91">
        <v>175</v>
      </c>
      <c r="I10" s="91">
        <f>2405/100</f>
        <v>24.05</v>
      </c>
      <c r="J10" s="91">
        <v>200</v>
      </c>
      <c r="K10" s="103">
        <f>J10/G10*100</f>
        <v>100</v>
      </c>
    </row>
    <row r="11" spans="2:11" ht="15" x14ac:dyDescent="0.2">
      <c r="B11" s="82">
        <v>6113</v>
      </c>
      <c r="C11" s="83">
        <v>5021</v>
      </c>
      <c r="D11" s="83">
        <v>0</v>
      </c>
      <c r="E11" s="83">
        <v>11000000000</v>
      </c>
      <c r="F11" s="84" t="s">
        <v>37</v>
      </c>
      <c r="G11" s="85">
        <v>4400</v>
      </c>
      <c r="H11" s="85">
        <v>4200</v>
      </c>
      <c r="I11" s="85">
        <v>0</v>
      </c>
      <c r="J11" s="85">
        <v>4400</v>
      </c>
      <c r="K11" s="103">
        <f>J11/G11*100</f>
        <v>100</v>
      </c>
    </row>
    <row r="12" spans="2:11" ht="25.5" x14ac:dyDescent="0.2">
      <c r="B12" s="82">
        <v>6113</v>
      </c>
      <c r="C12" s="83">
        <v>5023</v>
      </c>
      <c r="D12" s="83">
        <v>0</v>
      </c>
      <c r="E12" s="83">
        <v>11000000000</v>
      </c>
      <c r="F12" s="84" t="s">
        <v>315</v>
      </c>
      <c r="G12" s="85">
        <v>11800</v>
      </c>
      <c r="H12" s="85">
        <v>11800</v>
      </c>
      <c r="I12" s="85">
        <f>765602/100</f>
        <v>7656.02</v>
      </c>
      <c r="J12" s="85">
        <v>11800</v>
      </c>
      <c r="K12" s="103">
        <f t="shared" ref="K12:K44" si="0">J12/G12*100</f>
        <v>100</v>
      </c>
    </row>
    <row r="13" spans="2:11" ht="25.5" x14ac:dyDescent="0.2">
      <c r="B13" s="82">
        <v>6113</v>
      </c>
      <c r="C13" s="83">
        <v>5031</v>
      </c>
      <c r="D13" s="83">
        <v>0</v>
      </c>
      <c r="E13" s="83">
        <v>11000000000</v>
      </c>
      <c r="F13" s="84" t="s">
        <v>38</v>
      </c>
      <c r="G13" s="85">
        <v>1950</v>
      </c>
      <c r="H13" s="85">
        <v>1950</v>
      </c>
      <c r="I13" s="85">
        <f>126638/100</f>
        <v>1266.3800000000001</v>
      </c>
      <c r="J13" s="85">
        <v>1950</v>
      </c>
      <c r="K13" s="103">
        <f t="shared" si="0"/>
        <v>100</v>
      </c>
    </row>
    <row r="14" spans="2:11" ht="25.5" x14ac:dyDescent="0.2">
      <c r="B14" s="82">
        <v>6113</v>
      </c>
      <c r="C14" s="83">
        <v>5032</v>
      </c>
      <c r="D14" s="83">
        <v>0</v>
      </c>
      <c r="E14" s="83">
        <v>11000000000</v>
      </c>
      <c r="F14" s="84" t="s">
        <v>39</v>
      </c>
      <c r="G14" s="85">
        <v>1500</v>
      </c>
      <c r="H14" s="85">
        <v>1500</v>
      </c>
      <c r="I14" s="85">
        <f>70039/100</f>
        <v>700.39</v>
      </c>
      <c r="J14" s="85">
        <v>1500</v>
      </c>
      <c r="K14" s="103">
        <f t="shared" si="0"/>
        <v>100</v>
      </c>
    </row>
    <row r="15" spans="2:11" ht="25.5" x14ac:dyDescent="0.2">
      <c r="B15" s="82">
        <v>6113</v>
      </c>
      <c r="C15" s="83">
        <v>5039</v>
      </c>
      <c r="D15" s="83">
        <v>0</v>
      </c>
      <c r="E15" s="83">
        <v>11000000000</v>
      </c>
      <c r="F15" s="84" t="s">
        <v>143</v>
      </c>
      <c r="G15" s="85">
        <v>50</v>
      </c>
      <c r="H15" s="85">
        <v>50</v>
      </c>
      <c r="I15" s="85">
        <f>819/100</f>
        <v>8.19</v>
      </c>
      <c r="J15" s="85">
        <v>50</v>
      </c>
      <c r="K15" s="103">
        <f t="shared" si="0"/>
        <v>100</v>
      </c>
    </row>
    <row r="16" spans="2:11" ht="15" x14ac:dyDescent="0.2">
      <c r="B16" s="82">
        <v>6113</v>
      </c>
      <c r="C16" s="83">
        <v>5136</v>
      </c>
      <c r="D16" s="83">
        <v>0</v>
      </c>
      <c r="E16" s="83">
        <v>11000000000</v>
      </c>
      <c r="F16" s="84" t="s">
        <v>40</v>
      </c>
      <c r="G16" s="85">
        <v>50</v>
      </c>
      <c r="H16" s="85">
        <v>50</v>
      </c>
      <c r="I16" s="85">
        <v>0</v>
      </c>
      <c r="J16" s="85">
        <v>50</v>
      </c>
      <c r="K16" s="103">
        <f t="shared" si="0"/>
        <v>100</v>
      </c>
    </row>
    <row r="17" spans="2:11" ht="15" x14ac:dyDescent="0.2">
      <c r="B17" s="82">
        <v>6113</v>
      </c>
      <c r="C17" s="83">
        <v>5137</v>
      </c>
      <c r="D17" s="83">
        <v>0</v>
      </c>
      <c r="E17" s="83">
        <v>11000000000</v>
      </c>
      <c r="F17" s="84" t="s">
        <v>49</v>
      </c>
      <c r="G17" s="85">
        <v>1160</v>
      </c>
      <c r="H17" s="85">
        <v>830</v>
      </c>
      <c r="I17" s="85">
        <f>16618/100</f>
        <v>166.18</v>
      </c>
      <c r="J17" s="85">
        <v>700</v>
      </c>
      <c r="K17" s="103">
        <f t="shared" si="0"/>
        <v>60.344827586206897</v>
      </c>
    </row>
    <row r="18" spans="2:11" ht="15" x14ac:dyDescent="0.2">
      <c r="B18" s="82">
        <v>6113</v>
      </c>
      <c r="C18" s="83">
        <v>5139</v>
      </c>
      <c r="D18" s="83">
        <v>0</v>
      </c>
      <c r="E18" s="83">
        <v>11000000000</v>
      </c>
      <c r="F18" s="84" t="s">
        <v>18</v>
      </c>
      <c r="G18" s="85">
        <v>1050</v>
      </c>
      <c r="H18" s="85">
        <v>1050</v>
      </c>
      <c r="I18" s="85">
        <f>56406/100</f>
        <v>564.05999999999995</v>
      </c>
      <c r="J18" s="85">
        <v>1000</v>
      </c>
      <c r="K18" s="103">
        <f t="shared" si="0"/>
        <v>95.238095238095227</v>
      </c>
    </row>
    <row r="19" spans="2:11" ht="15" x14ac:dyDescent="0.2">
      <c r="B19" s="82">
        <v>6113</v>
      </c>
      <c r="C19" s="83">
        <v>5142</v>
      </c>
      <c r="D19" s="83">
        <v>0</v>
      </c>
      <c r="E19" s="83">
        <v>11000000000</v>
      </c>
      <c r="F19" s="84" t="s">
        <v>133</v>
      </c>
      <c r="G19" s="85">
        <v>20</v>
      </c>
      <c r="H19" s="85">
        <v>20</v>
      </c>
      <c r="I19" s="85">
        <f>17/100</f>
        <v>0.17</v>
      </c>
      <c r="J19" s="85">
        <v>20</v>
      </c>
      <c r="K19" s="103">
        <f t="shared" si="0"/>
        <v>100</v>
      </c>
    </row>
    <row r="20" spans="2:11" ht="15" x14ac:dyDescent="0.2">
      <c r="B20" s="82">
        <v>6113</v>
      </c>
      <c r="C20" s="83">
        <v>5151</v>
      </c>
      <c r="D20" s="83">
        <v>0</v>
      </c>
      <c r="E20" s="83">
        <v>11000000000</v>
      </c>
      <c r="F20" s="84" t="s">
        <v>244</v>
      </c>
      <c r="G20" s="85">
        <v>30</v>
      </c>
      <c r="H20" s="85">
        <v>30</v>
      </c>
      <c r="I20" s="85">
        <f>2762/100</f>
        <v>27.62</v>
      </c>
      <c r="J20" s="85">
        <v>40</v>
      </c>
      <c r="K20" s="103">
        <f t="shared" si="0"/>
        <v>133.33333333333331</v>
      </c>
    </row>
    <row r="21" spans="2:11" ht="15" x14ac:dyDescent="0.2">
      <c r="B21" s="82">
        <v>6113</v>
      </c>
      <c r="C21" s="83">
        <v>5152</v>
      </c>
      <c r="D21" s="83">
        <v>0</v>
      </c>
      <c r="E21" s="83">
        <v>11000000000</v>
      </c>
      <c r="F21" s="84" t="s">
        <v>245</v>
      </c>
      <c r="G21" s="85">
        <v>170</v>
      </c>
      <c r="H21" s="85">
        <v>370</v>
      </c>
      <c r="I21" s="85">
        <f>18032/100</f>
        <v>180.32</v>
      </c>
      <c r="J21" s="85">
        <v>300</v>
      </c>
      <c r="K21" s="103">
        <f t="shared" si="0"/>
        <v>176.47058823529412</v>
      </c>
    </row>
    <row r="22" spans="2:11" ht="15" x14ac:dyDescent="0.2">
      <c r="B22" s="82">
        <v>6113</v>
      </c>
      <c r="C22" s="83">
        <v>5154</v>
      </c>
      <c r="D22" s="83">
        <v>0</v>
      </c>
      <c r="E22" s="83">
        <v>11000000000</v>
      </c>
      <c r="F22" s="84" t="s">
        <v>247</v>
      </c>
      <c r="G22" s="85">
        <v>330</v>
      </c>
      <c r="H22" s="85">
        <v>330</v>
      </c>
      <c r="I22" s="85">
        <f>24171/100</f>
        <v>241.71</v>
      </c>
      <c r="J22" s="85">
        <v>330</v>
      </c>
      <c r="K22" s="103">
        <f t="shared" si="0"/>
        <v>100</v>
      </c>
    </row>
    <row r="23" spans="2:11" ht="15" x14ac:dyDescent="0.2">
      <c r="B23" s="82">
        <v>6113</v>
      </c>
      <c r="C23" s="83">
        <v>5156</v>
      </c>
      <c r="D23" s="83">
        <v>0</v>
      </c>
      <c r="E23" s="83">
        <v>11000000000</v>
      </c>
      <c r="F23" s="84" t="s">
        <v>248</v>
      </c>
      <c r="G23" s="85">
        <v>450</v>
      </c>
      <c r="H23" s="85">
        <v>450</v>
      </c>
      <c r="I23" s="85">
        <f>30008/100</f>
        <v>300.08</v>
      </c>
      <c r="J23" s="85">
        <v>500</v>
      </c>
      <c r="K23" s="103">
        <f t="shared" si="0"/>
        <v>111.11111111111111</v>
      </c>
    </row>
    <row r="24" spans="2:11" ht="15" x14ac:dyDescent="0.2">
      <c r="B24" s="82">
        <v>6113</v>
      </c>
      <c r="C24" s="83">
        <v>5161</v>
      </c>
      <c r="D24" s="83">
        <v>0</v>
      </c>
      <c r="E24" s="83">
        <v>11000000000</v>
      </c>
      <c r="F24" s="84" t="s">
        <v>90</v>
      </c>
      <c r="G24" s="85">
        <v>10</v>
      </c>
      <c r="H24" s="85">
        <v>10</v>
      </c>
      <c r="I24" s="85">
        <v>0</v>
      </c>
      <c r="J24" s="85">
        <v>10</v>
      </c>
      <c r="K24" s="103">
        <f t="shared" si="0"/>
        <v>100</v>
      </c>
    </row>
    <row r="25" spans="2:11" ht="25.5" x14ac:dyDescent="0.2">
      <c r="B25" s="82">
        <v>6113</v>
      </c>
      <c r="C25" s="83">
        <v>5162</v>
      </c>
      <c r="D25" s="83">
        <v>0</v>
      </c>
      <c r="E25" s="83">
        <v>11000000000</v>
      </c>
      <c r="F25" s="84" t="s">
        <v>41</v>
      </c>
      <c r="G25" s="85">
        <v>500</v>
      </c>
      <c r="H25" s="85">
        <v>450</v>
      </c>
      <c r="I25" s="85">
        <f>19374/100</f>
        <v>193.74</v>
      </c>
      <c r="J25" s="85">
        <v>300</v>
      </c>
      <c r="K25" s="103">
        <f t="shared" si="0"/>
        <v>60</v>
      </c>
    </row>
    <row r="26" spans="2:11" ht="15" x14ac:dyDescent="0.2">
      <c r="B26" s="82">
        <v>6113</v>
      </c>
      <c r="C26" s="83">
        <v>5163</v>
      </c>
      <c r="D26" s="83">
        <v>0</v>
      </c>
      <c r="E26" s="83"/>
      <c r="F26" s="84" t="s">
        <v>19</v>
      </c>
      <c r="G26" s="85">
        <v>80</v>
      </c>
      <c r="H26" s="85">
        <v>65</v>
      </c>
      <c r="I26" s="85">
        <v>29</v>
      </c>
      <c r="J26" s="85">
        <v>50</v>
      </c>
      <c r="K26" s="103">
        <f t="shared" si="0"/>
        <v>62.5</v>
      </c>
    </row>
    <row r="27" spans="2:11" ht="15" x14ac:dyDescent="0.2">
      <c r="B27" s="82">
        <v>6113</v>
      </c>
      <c r="C27" s="83">
        <v>5164</v>
      </c>
      <c r="D27" s="83">
        <v>0</v>
      </c>
      <c r="E27" s="83">
        <v>11000000000</v>
      </c>
      <c r="F27" s="84" t="s">
        <v>20</v>
      </c>
      <c r="G27" s="85">
        <v>200</v>
      </c>
      <c r="H27" s="85">
        <v>200</v>
      </c>
      <c r="I27" s="85">
        <f>14467/100</f>
        <v>144.66999999999999</v>
      </c>
      <c r="J27" s="85">
        <v>200</v>
      </c>
      <c r="K27" s="103">
        <f t="shared" si="0"/>
        <v>100</v>
      </c>
    </row>
    <row r="28" spans="2:11" ht="25.5" x14ac:dyDescent="0.2">
      <c r="B28" s="82">
        <v>6113</v>
      </c>
      <c r="C28" s="83">
        <v>5166</v>
      </c>
      <c r="D28" s="83">
        <v>0</v>
      </c>
      <c r="E28" s="83">
        <v>11000000000</v>
      </c>
      <c r="F28" s="84" t="s">
        <v>42</v>
      </c>
      <c r="G28" s="85">
        <v>1100</v>
      </c>
      <c r="H28" s="85">
        <v>1050</v>
      </c>
      <c r="I28" s="85">
        <f>61720/100</f>
        <v>617.20000000000005</v>
      </c>
      <c r="J28" s="85">
        <v>920</v>
      </c>
      <c r="K28" s="103">
        <f t="shared" si="0"/>
        <v>83.636363636363626</v>
      </c>
    </row>
    <row r="29" spans="2:11" ht="15" x14ac:dyDescent="0.2">
      <c r="B29" s="82">
        <v>6113</v>
      </c>
      <c r="C29" s="83">
        <v>5167</v>
      </c>
      <c r="D29" s="83">
        <v>0</v>
      </c>
      <c r="E29" s="83">
        <v>11000000000</v>
      </c>
      <c r="F29" s="84" t="s">
        <v>43</v>
      </c>
      <c r="G29" s="85">
        <v>100</v>
      </c>
      <c r="H29" s="85">
        <v>100</v>
      </c>
      <c r="I29" s="85">
        <v>0</v>
      </c>
      <c r="J29" s="85">
        <v>100</v>
      </c>
      <c r="K29" s="103">
        <f t="shared" si="0"/>
        <v>100</v>
      </c>
    </row>
    <row r="30" spans="2:11" ht="15" x14ac:dyDescent="0.2">
      <c r="B30" s="82">
        <v>6113</v>
      </c>
      <c r="C30" s="83">
        <v>5169</v>
      </c>
      <c r="D30" s="83">
        <v>0</v>
      </c>
      <c r="E30" s="83">
        <v>11000000000</v>
      </c>
      <c r="F30" s="84" t="s">
        <v>15</v>
      </c>
      <c r="G30" s="85">
        <v>8900</v>
      </c>
      <c r="H30" s="85">
        <v>8550</v>
      </c>
      <c r="I30" s="85">
        <f>280506/100</f>
        <v>2805.06</v>
      </c>
      <c r="J30" s="85">
        <v>8000</v>
      </c>
      <c r="K30" s="103">
        <f t="shared" si="0"/>
        <v>89.887640449438194</v>
      </c>
    </row>
    <row r="31" spans="2:11" ht="15" x14ac:dyDescent="0.2">
      <c r="B31" s="82">
        <v>6113</v>
      </c>
      <c r="C31" s="83">
        <v>5171</v>
      </c>
      <c r="D31" s="83">
        <v>0</v>
      </c>
      <c r="E31" s="83">
        <v>11000000000</v>
      </c>
      <c r="F31" s="84" t="s">
        <v>55</v>
      </c>
      <c r="G31" s="85">
        <v>200</v>
      </c>
      <c r="H31" s="85">
        <v>170</v>
      </c>
      <c r="I31" s="85">
        <f>368/100</f>
        <v>3.68</v>
      </c>
      <c r="J31" s="85">
        <v>100</v>
      </c>
      <c r="K31" s="103">
        <f t="shared" si="0"/>
        <v>50</v>
      </c>
    </row>
    <row r="32" spans="2:11" ht="15" x14ac:dyDescent="0.2">
      <c r="B32" s="82">
        <v>6113</v>
      </c>
      <c r="C32" s="83">
        <v>5172</v>
      </c>
      <c r="D32" s="83">
        <v>0</v>
      </c>
      <c r="E32" s="83">
        <v>11000000000</v>
      </c>
      <c r="F32" s="84" t="s">
        <v>46</v>
      </c>
      <c r="G32" s="85">
        <v>100</v>
      </c>
      <c r="H32" s="85">
        <v>100</v>
      </c>
      <c r="I32" s="85">
        <v>0</v>
      </c>
      <c r="J32" s="85">
        <v>100</v>
      </c>
      <c r="K32" s="103">
        <f t="shared" si="0"/>
        <v>100</v>
      </c>
    </row>
    <row r="33" spans="2:11" ht="15" x14ac:dyDescent="0.2">
      <c r="B33" s="82">
        <v>6113</v>
      </c>
      <c r="C33" s="83">
        <v>5173</v>
      </c>
      <c r="D33" s="83">
        <v>0</v>
      </c>
      <c r="E33" s="83"/>
      <c r="F33" s="84" t="s">
        <v>44</v>
      </c>
      <c r="G33" s="85">
        <v>1600</v>
      </c>
      <c r="H33" s="85">
        <f>1200+335</f>
        <v>1535</v>
      </c>
      <c r="I33" s="85">
        <f>58399/100+154</f>
        <v>737.99</v>
      </c>
      <c r="J33" s="85">
        <v>1600</v>
      </c>
      <c r="K33" s="103">
        <f t="shared" si="0"/>
        <v>100</v>
      </c>
    </row>
    <row r="34" spans="2:11" ht="15" x14ac:dyDescent="0.2">
      <c r="B34" s="82">
        <v>6113</v>
      </c>
      <c r="C34" s="83">
        <v>5175</v>
      </c>
      <c r="D34" s="83">
        <v>0</v>
      </c>
      <c r="E34" s="83"/>
      <c r="F34" s="84" t="s">
        <v>21</v>
      </c>
      <c r="G34" s="85">
        <f>100+100+100+800+100+100+100+100</f>
        <v>1500</v>
      </c>
      <c r="H34" s="85">
        <f>100+100+100+1000+100+100+100+100</f>
        <v>1700</v>
      </c>
      <c r="I34" s="85">
        <f>2671/100+24+26+727+35+43+26+46</f>
        <v>953.71</v>
      </c>
      <c r="J34" s="85">
        <f>100+100+100+800+100+100+100+100</f>
        <v>1500</v>
      </c>
      <c r="K34" s="103">
        <f t="shared" si="0"/>
        <v>100</v>
      </c>
    </row>
    <row r="35" spans="2:11" ht="15" x14ac:dyDescent="0.2">
      <c r="B35" s="82">
        <v>6113</v>
      </c>
      <c r="C35" s="83">
        <v>5176</v>
      </c>
      <c r="D35" s="83">
        <v>0</v>
      </c>
      <c r="E35" s="83">
        <v>11000000000</v>
      </c>
      <c r="F35" s="84" t="s">
        <v>45</v>
      </c>
      <c r="G35" s="85">
        <v>50</v>
      </c>
      <c r="H35" s="85">
        <v>65</v>
      </c>
      <c r="I35" s="85">
        <f>4923/100</f>
        <v>49.23</v>
      </c>
      <c r="J35" s="85">
        <v>50</v>
      </c>
      <c r="K35" s="103">
        <f t="shared" si="0"/>
        <v>100</v>
      </c>
    </row>
    <row r="36" spans="2:11" ht="15" x14ac:dyDescent="0.2">
      <c r="B36" s="82">
        <v>6113</v>
      </c>
      <c r="C36" s="83">
        <v>5182</v>
      </c>
      <c r="D36" s="83">
        <v>0</v>
      </c>
      <c r="E36" s="83">
        <v>0</v>
      </c>
      <c r="F36" s="84" t="s">
        <v>22</v>
      </c>
      <c r="G36" s="85">
        <v>20</v>
      </c>
      <c r="H36" s="85">
        <v>20</v>
      </c>
      <c r="I36" s="85">
        <v>0</v>
      </c>
      <c r="J36" s="85">
        <v>0</v>
      </c>
      <c r="K36" s="103">
        <f t="shared" si="0"/>
        <v>0</v>
      </c>
    </row>
    <row r="37" spans="2:11" ht="15" x14ac:dyDescent="0.2">
      <c r="B37" s="82">
        <v>6113</v>
      </c>
      <c r="C37" s="83">
        <v>5189</v>
      </c>
      <c r="D37" s="83">
        <v>0</v>
      </c>
      <c r="E37" s="83">
        <v>0</v>
      </c>
      <c r="F37" s="84" t="s">
        <v>23</v>
      </c>
      <c r="G37" s="85">
        <v>70</v>
      </c>
      <c r="H37" s="85">
        <v>70</v>
      </c>
      <c r="I37" s="85">
        <v>271</v>
      </c>
      <c r="J37" s="85">
        <v>70</v>
      </c>
      <c r="K37" s="103">
        <f t="shared" si="0"/>
        <v>100</v>
      </c>
    </row>
    <row r="38" spans="2:11" ht="15" x14ac:dyDescent="0.2">
      <c r="B38" s="82">
        <v>6113</v>
      </c>
      <c r="C38" s="83">
        <v>5194</v>
      </c>
      <c r="D38" s="83">
        <v>0</v>
      </c>
      <c r="E38" s="83">
        <v>11000000000</v>
      </c>
      <c r="F38" s="84" t="s">
        <v>24</v>
      </c>
      <c r="G38" s="85">
        <v>100</v>
      </c>
      <c r="H38" s="85">
        <v>100</v>
      </c>
      <c r="I38" s="85">
        <v>0</v>
      </c>
      <c r="J38" s="85">
        <v>50</v>
      </c>
      <c r="K38" s="103">
        <f t="shared" si="0"/>
        <v>50</v>
      </c>
    </row>
    <row r="39" spans="2:11" ht="25.5" x14ac:dyDescent="0.2">
      <c r="B39" s="82">
        <v>6113</v>
      </c>
      <c r="C39" s="83">
        <v>5229</v>
      </c>
      <c r="D39" s="83">
        <v>0</v>
      </c>
      <c r="E39" s="83">
        <v>30101000000</v>
      </c>
      <c r="F39" s="84" t="s">
        <v>86</v>
      </c>
      <c r="G39" s="85">
        <v>1000</v>
      </c>
      <c r="H39" s="85">
        <v>1000</v>
      </c>
      <c r="I39" s="85">
        <v>700</v>
      </c>
      <c r="J39" s="85">
        <v>1000</v>
      </c>
      <c r="K39" s="103">
        <f t="shared" si="0"/>
        <v>100</v>
      </c>
    </row>
    <row r="40" spans="2:11" ht="15" x14ac:dyDescent="0.2">
      <c r="B40" s="82">
        <v>6113</v>
      </c>
      <c r="C40" s="83">
        <v>5361</v>
      </c>
      <c r="D40" s="83">
        <v>0</v>
      </c>
      <c r="E40" s="83">
        <v>11000000000</v>
      </c>
      <c r="F40" s="84" t="s">
        <v>253</v>
      </c>
      <c r="G40" s="85">
        <v>5</v>
      </c>
      <c r="H40" s="85">
        <v>5</v>
      </c>
      <c r="I40" s="85">
        <v>0</v>
      </c>
      <c r="J40" s="85">
        <v>5</v>
      </c>
      <c r="K40" s="103">
        <f t="shared" si="0"/>
        <v>100</v>
      </c>
    </row>
    <row r="41" spans="2:11" ht="25.5" x14ac:dyDescent="0.2">
      <c r="B41" s="82">
        <v>6113</v>
      </c>
      <c r="C41" s="83">
        <v>5362</v>
      </c>
      <c r="D41" s="83">
        <v>0</v>
      </c>
      <c r="E41" s="83">
        <v>11000000000</v>
      </c>
      <c r="F41" s="84" t="s">
        <v>66</v>
      </c>
      <c r="G41" s="85">
        <v>5</v>
      </c>
      <c r="H41" s="85">
        <v>5</v>
      </c>
      <c r="I41" s="85">
        <v>0</v>
      </c>
      <c r="J41" s="85">
        <v>5</v>
      </c>
      <c r="K41" s="103">
        <f t="shared" si="0"/>
        <v>100</v>
      </c>
    </row>
    <row r="42" spans="2:11" ht="15" x14ac:dyDescent="0.2">
      <c r="B42" s="82">
        <v>6113</v>
      </c>
      <c r="C42" s="83">
        <v>5424</v>
      </c>
      <c r="D42" s="83">
        <v>0</v>
      </c>
      <c r="E42" s="83">
        <v>11000000000</v>
      </c>
      <c r="F42" s="84" t="s">
        <v>254</v>
      </c>
      <c r="G42" s="85">
        <v>100</v>
      </c>
      <c r="H42" s="85">
        <v>100</v>
      </c>
      <c r="I42" s="85">
        <v>0</v>
      </c>
      <c r="J42" s="85">
        <v>50</v>
      </c>
      <c r="K42" s="103">
        <f t="shared" si="0"/>
        <v>50</v>
      </c>
    </row>
    <row r="43" spans="2:11" ht="15" x14ac:dyDescent="0.2">
      <c r="B43" s="82">
        <v>6113</v>
      </c>
      <c r="C43" s="83">
        <v>5492</v>
      </c>
      <c r="D43" s="83">
        <v>0</v>
      </c>
      <c r="E43" s="83">
        <v>30102000000</v>
      </c>
      <c r="F43" s="84" t="s">
        <v>89</v>
      </c>
      <c r="G43" s="85">
        <v>15</v>
      </c>
      <c r="H43" s="85">
        <v>15</v>
      </c>
      <c r="I43" s="85">
        <v>15</v>
      </c>
      <c r="J43" s="85">
        <v>15</v>
      </c>
      <c r="K43" s="103">
        <f t="shared" si="0"/>
        <v>100</v>
      </c>
    </row>
    <row r="44" spans="2:11" ht="26.25" thickBot="1" x14ac:dyDescent="0.25">
      <c r="B44" s="82">
        <v>6330</v>
      </c>
      <c r="C44" s="83">
        <v>5342</v>
      </c>
      <c r="D44" s="83">
        <v>0</v>
      </c>
      <c r="E44" s="83">
        <v>11000000000</v>
      </c>
      <c r="F44" s="84" t="s">
        <v>252</v>
      </c>
      <c r="G44" s="85">
        <v>273</v>
      </c>
      <c r="H44" s="85">
        <v>273</v>
      </c>
      <c r="I44" s="85">
        <f>17280/100</f>
        <v>172.8</v>
      </c>
      <c r="J44" s="85">
        <v>273</v>
      </c>
      <c r="K44" s="103">
        <f t="shared" si="0"/>
        <v>100</v>
      </c>
    </row>
    <row r="45" spans="2:11" ht="15.75" thickBot="1" x14ac:dyDescent="0.25">
      <c r="B45" s="18" t="s">
        <v>25</v>
      </c>
      <c r="C45" s="19"/>
      <c r="D45" s="19"/>
      <c r="E45" s="19"/>
      <c r="F45" s="20"/>
      <c r="G45" s="21">
        <f>SUM(G10:G44)</f>
        <v>39088</v>
      </c>
      <c r="H45" s="21">
        <f>SUM(H10:H44)</f>
        <v>38388</v>
      </c>
      <c r="I45" s="21">
        <f>SUM(I10:I44)</f>
        <v>17828.25</v>
      </c>
      <c r="J45" s="21">
        <f>SUM(J10:J44)</f>
        <v>37238</v>
      </c>
      <c r="K45" s="106">
        <f>J45/G45*100</f>
        <v>95.267089643880482</v>
      </c>
    </row>
    <row r="46" spans="2:11" x14ac:dyDescent="0.2">
      <c r="F46" s="1"/>
      <c r="G46" s="1"/>
      <c r="H46" s="1"/>
      <c r="I46" s="1"/>
      <c r="J46" s="1"/>
    </row>
    <row r="47" spans="2:11" s="123" customFormat="1" ht="15.75" thickBot="1" x14ac:dyDescent="0.25">
      <c r="B47" s="22" t="s">
        <v>316</v>
      </c>
      <c r="C47" s="22"/>
      <c r="D47" s="22"/>
      <c r="E47" s="22"/>
      <c r="F47" s="23"/>
      <c r="G47" s="23"/>
      <c r="H47" s="24"/>
      <c r="I47" s="24"/>
      <c r="J47" s="24">
        <v>200</v>
      </c>
      <c r="K47" s="108" t="s">
        <v>27</v>
      </c>
    </row>
    <row r="48" spans="2:11" s="123" customFormat="1" ht="38.25" customHeight="1" thickTop="1" x14ac:dyDescent="0.2">
      <c r="B48" s="265" t="s">
        <v>454</v>
      </c>
      <c r="C48" s="266"/>
      <c r="D48" s="266"/>
      <c r="E48" s="266"/>
      <c r="F48" s="266"/>
      <c r="G48" s="266"/>
      <c r="H48" s="266"/>
      <c r="I48" s="266"/>
      <c r="J48" s="266"/>
      <c r="K48" s="266"/>
    </row>
    <row r="49" spans="2:11" s="123" customFormat="1" ht="15.75" thickBot="1" x14ac:dyDescent="0.25">
      <c r="B49" s="22" t="s">
        <v>317</v>
      </c>
      <c r="C49" s="22"/>
      <c r="D49" s="22"/>
      <c r="E49" s="22"/>
      <c r="F49" s="23"/>
      <c r="G49" s="23"/>
      <c r="H49" s="24"/>
      <c r="I49" s="24"/>
      <c r="J49" s="24">
        <v>4400</v>
      </c>
      <c r="K49" s="108" t="s">
        <v>27</v>
      </c>
    </row>
    <row r="50" spans="2:11" s="123" customFormat="1" ht="120.75" customHeight="1" thickTop="1" x14ac:dyDescent="0.2">
      <c r="B50" s="265" t="s">
        <v>453</v>
      </c>
      <c r="C50" s="266"/>
      <c r="D50" s="266"/>
      <c r="E50" s="266"/>
      <c r="F50" s="266"/>
      <c r="G50" s="266"/>
      <c r="H50" s="266"/>
      <c r="I50" s="266"/>
      <c r="J50" s="266"/>
      <c r="K50" s="266"/>
    </row>
    <row r="51" spans="2:11" s="123" customFormat="1" ht="16.5" customHeight="1" x14ac:dyDescent="0.2">
      <c r="B51" s="214"/>
      <c r="C51" s="215"/>
      <c r="D51" s="215"/>
      <c r="E51" s="215"/>
      <c r="F51" s="215"/>
      <c r="G51" s="215"/>
      <c r="H51" s="215"/>
      <c r="I51" s="215"/>
      <c r="J51" s="215"/>
      <c r="K51" s="215"/>
    </row>
    <row r="52" spans="2:11" s="123" customFormat="1" ht="15.75" thickBot="1" x14ac:dyDescent="0.25">
      <c r="B52" s="22" t="s">
        <v>318</v>
      </c>
      <c r="C52" s="22"/>
      <c r="D52" s="22"/>
      <c r="E52" s="22"/>
      <c r="F52" s="23"/>
      <c r="G52" s="23"/>
      <c r="H52" s="24"/>
      <c r="I52" s="24"/>
      <c r="J52" s="24">
        <v>11800</v>
      </c>
      <c r="K52" s="108" t="s">
        <v>27</v>
      </c>
    </row>
    <row r="53" spans="2:11" s="123" customFormat="1" ht="85.5" customHeight="1" thickTop="1" x14ac:dyDescent="0.2">
      <c r="B53" s="265" t="s">
        <v>455</v>
      </c>
      <c r="C53" s="266"/>
      <c r="D53" s="266"/>
      <c r="E53" s="266"/>
      <c r="F53" s="266"/>
      <c r="G53" s="266"/>
      <c r="H53" s="266"/>
      <c r="I53" s="266"/>
      <c r="J53" s="266"/>
      <c r="K53" s="266"/>
    </row>
    <row r="54" spans="2:11" s="123" customFormat="1" ht="15.75" thickBot="1" x14ac:dyDescent="0.25">
      <c r="B54" s="22" t="s">
        <v>319</v>
      </c>
      <c r="C54" s="22"/>
      <c r="D54" s="22"/>
      <c r="E54" s="22"/>
      <c r="F54" s="23"/>
      <c r="G54" s="23"/>
      <c r="H54" s="24"/>
      <c r="I54" s="24"/>
      <c r="J54" s="24">
        <v>1950</v>
      </c>
      <c r="K54" s="108" t="s">
        <v>27</v>
      </c>
    </row>
    <row r="55" spans="2:11" s="123" customFormat="1" ht="21.95" customHeight="1" thickTop="1" x14ac:dyDescent="0.2">
      <c r="B55" s="269" t="s">
        <v>380</v>
      </c>
      <c r="C55" s="270"/>
      <c r="D55" s="270"/>
      <c r="E55" s="270"/>
      <c r="F55" s="270"/>
      <c r="G55" s="270"/>
      <c r="H55" s="270"/>
      <c r="I55" s="270"/>
      <c r="J55" s="270"/>
      <c r="K55" s="270"/>
    </row>
    <row r="56" spans="2:11" s="123" customFormat="1" ht="15.75" thickBot="1" x14ac:dyDescent="0.25">
      <c r="B56" s="22" t="s">
        <v>320</v>
      </c>
      <c r="C56" s="22"/>
      <c r="D56" s="22"/>
      <c r="E56" s="22"/>
      <c r="F56" s="23"/>
      <c r="G56" s="23"/>
      <c r="H56" s="24"/>
      <c r="I56" s="24"/>
      <c r="J56" s="24">
        <v>1500</v>
      </c>
      <c r="K56" s="108" t="s">
        <v>27</v>
      </c>
    </row>
    <row r="57" spans="2:11" s="123" customFormat="1" ht="37.5" customHeight="1" thickTop="1" x14ac:dyDescent="0.2">
      <c r="B57" s="265" t="s">
        <v>456</v>
      </c>
      <c r="C57" s="266"/>
      <c r="D57" s="266"/>
      <c r="E57" s="266"/>
      <c r="F57" s="266"/>
      <c r="G57" s="266"/>
      <c r="H57" s="266"/>
      <c r="I57" s="266"/>
      <c r="J57" s="266"/>
      <c r="K57" s="266"/>
    </row>
    <row r="58" spans="2:11" s="123" customFormat="1" ht="15.75" thickBot="1" x14ac:dyDescent="0.25">
      <c r="B58" s="22" t="s">
        <v>321</v>
      </c>
      <c r="C58" s="22"/>
      <c r="D58" s="22"/>
      <c r="E58" s="22"/>
      <c r="F58" s="23"/>
      <c r="G58" s="23"/>
      <c r="H58" s="24"/>
      <c r="I58" s="24"/>
      <c r="J58" s="24">
        <v>50</v>
      </c>
      <c r="K58" s="108" t="s">
        <v>27</v>
      </c>
    </row>
    <row r="59" spans="2:11" s="123" customFormat="1" ht="39.75" customHeight="1" thickTop="1" x14ac:dyDescent="0.2">
      <c r="B59" s="265" t="s">
        <v>457</v>
      </c>
      <c r="C59" s="266"/>
      <c r="D59" s="266"/>
      <c r="E59" s="266"/>
      <c r="F59" s="266"/>
      <c r="G59" s="266"/>
      <c r="H59" s="266"/>
      <c r="I59" s="266"/>
      <c r="J59" s="266"/>
      <c r="K59" s="266"/>
    </row>
    <row r="60" spans="2:11" s="123" customFormat="1" ht="15.75" thickBot="1" x14ac:dyDescent="0.25">
      <c r="B60" s="22" t="s">
        <v>322</v>
      </c>
      <c r="C60" s="22"/>
      <c r="D60" s="22"/>
      <c r="E60" s="22"/>
      <c r="F60" s="23"/>
      <c r="G60" s="23"/>
      <c r="H60" s="24"/>
      <c r="I60" s="24"/>
      <c r="J60" s="24">
        <v>50</v>
      </c>
      <c r="K60" s="108" t="s">
        <v>27</v>
      </c>
    </row>
    <row r="61" spans="2:11" s="123" customFormat="1" ht="49.5" customHeight="1" thickTop="1" x14ac:dyDescent="0.2">
      <c r="B61" s="265" t="s">
        <v>459</v>
      </c>
      <c r="C61" s="266"/>
      <c r="D61" s="266"/>
      <c r="E61" s="266"/>
      <c r="F61" s="266"/>
      <c r="G61" s="266"/>
      <c r="H61" s="266"/>
      <c r="I61" s="266"/>
      <c r="J61" s="266"/>
      <c r="K61" s="266"/>
    </row>
    <row r="62" spans="2:11" s="123" customFormat="1" ht="15.75" thickBot="1" x14ac:dyDescent="0.25">
      <c r="B62" s="22" t="s">
        <v>323</v>
      </c>
      <c r="C62" s="22"/>
      <c r="D62" s="22"/>
      <c r="E62" s="22"/>
      <c r="F62" s="23"/>
      <c r="G62" s="23"/>
      <c r="H62" s="24"/>
      <c r="I62" s="24"/>
      <c r="J62" s="24">
        <v>700</v>
      </c>
      <c r="K62" s="108" t="s">
        <v>27</v>
      </c>
    </row>
    <row r="63" spans="2:11" s="123" customFormat="1" ht="42" customHeight="1" thickTop="1" x14ac:dyDescent="0.2">
      <c r="B63" s="265" t="s">
        <v>458</v>
      </c>
      <c r="C63" s="266"/>
      <c r="D63" s="266"/>
      <c r="E63" s="266"/>
      <c r="F63" s="266"/>
      <c r="G63" s="266"/>
      <c r="H63" s="266"/>
      <c r="I63" s="266"/>
      <c r="J63" s="266"/>
      <c r="K63" s="266"/>
    </row>
    <row r="64" spans="2:11" s="123" customFormat="1" ht="15.75" thickBot="1" x14ac:dyDescent="0.25">
      <c r="B64" s="22" t="s">
        <v>324</v>
      </c>
      <c r="C64" s="22"/>
      <c r="D64" s="22"/>
      <c r="E64" s="22"/>
      <c r="F64" s="23"/>
      <c r="G64" s="23"/>
      <c r="H64" s="24"/>
      <c r="I64" s="24"/>
      <c r="J64" s="24">
        <v>1000</v>
      </c>
      <c r="K64" s="108" t="s">
        <v>27</v>
      </c>
    </row>
    <row r="65" spans="2:11" s="123" customFormat="1" ht="104.25" customHeight="1" thickTop="1" x14ac:dyDescent="0.2">
      <c r="B65" s="265" t="s">
        <v>460</v>
      </c>
      <c r="C65" s="266"/>
      <c r="D65" s="266"/>
      <c r="E65" s="266"/>
      <c r="F65" s="266"/>
      <c r="G65" s="266"/>
      <c r="H65" s="266"/>
      <c r="I65" s="266"/>
      <c r="J65" s="266"/>
      <c r="K65" s="266"/>
    </row>
    <row r="66" spans="2:11" s="123" customFormat="1" ht="15.75" thickBot="1" x14ac:dyDescent="0.25">
      <c r="B66" s="22" t="s">
        <v>325</v>
      </c>
      <c r="C66" s="22"/>
      <c r="D66" s="22"/>
      <c r="E66" s="22"/>
      <c r="F66" s="23"/>
      <c r="G66" s="23"/>
      <c r="H66" s="24"/>
      <c r="I66" s="24"/>
      <c r="J66" s="24">
        <v>20</v>
      </c>
      <c r="K66" s="108" t="s">
        <v>27</v>
      </c>
    </row>
    <row r="67" spans="2:11" s="123" customFormat="1" ht="24.95" customHeight="1" thickTop="1" x14ac:dyDescent="0.2">
      <c r="B67" s="269" t="s">
        <v>381</v>
      </c>
      <c r="C67" s="270"/>
      <c r="D67" s="270"/>
      <c r="E67" s="270"/>
      <c r="F67" s="270"/>
      <c r="G67" s="270"/>
      <c r="H67" s="270"/>
      <c r="I67" s="270"/>
      <c r="J67" s="270"/>
      <c r="K67" s="270"/>
    </row>
    <row r="68" spans="2:11" s="123" customFormat="1" ht="15.75" thickBot="1" x14ac:dyDescent="0.25">
      <c r="B68" s="22" t="s">
        <v>326</v>
      </c>
      <c r="C68" s="22"/>
      <c r="D68" s="22"/>
      <c r="E68" s="22"/>
      <c r="F68" s="23"/>
      <c r="G68" s="23"/>
      <c r="H68" s="24"/>
      <c r="I68" s="24"/>
      <c r="J68" s="24">
        <v>40</v>
      </c>
      <c r="K68" s="108" t="s">
        <v>27</v>
      </c>
    </row>
    <row r="69" spans="2:11" s="123" customFormat="1" ht="39.75" customHeight="1" thickTop="1" x14ac:dyDescent="0.2">
      <c r="B69" s="265" t="s">
        <v>461</v>
      </c>
      <c r="C69" s="266"/>
      <c r="D69" s="266"/>
      <c r="E69" s="266"/>
      <c r="F69" s="266"/>
      <c r="G69" s="266"/>
      <c r="H69" s="266"/>
      <c r="I69" s="266"/>
      <c r="J69" s="266"/>
      <c r="K69" s="266"/>
    </row>
    <row r="70" spans="2:11" s="123" customFormat="1" ht="15.75" thickBot="1" x14ac:dyDescent="0.25">
      <c r="B70" s="22" t="s">
        <v>327</v>
      </c>
      <c r="C70" s="22"/>
      <c r="D70" s="22"/>
      <c r="E70" s="22"/>
      <c r="F70" s="23"/>
      <c r="G70" s="23"/>
      <c r="H70" s="24"/>
      <c r="I70" s="24"/>
      <c r="J70" s="24">
        <v>300</v>
      </c>
      <c r="K70" s="108" t="s">
        <v>27</v>
      </c>
    </row>
    <row r="71" spans="2:11" s="123" customFormat="1" ht="39" customHeight="1" thickTop="1" x14ac:dyDescent="0.2">
      <c r="B71" s="265" t="s">
        <v>462</v>
      </c>
      <c r="C71" s="266"/>
      <c r="D71" s="266"/>
      <c r="E71" s="266"/>
      <c r="F71" s="266"/>
      <c r="G71" s="266"/>
      <c r="H71" s="266"/>
      <c r="I71" s="266"/>
      <c r="J71" s="266"/>
      <c r="K71" s="266"/>
    </row>
    <row r="72" spans="2:11" s="123" customFormat="1" ht="15.75" thickBot="1" x14ac:dyDescent="0.25">
      <c r="B72" s="22" t="s">
        <v>328</v>
      </c>
      <c r="C72" s="22"/>
      <c r="D72" s="22"/>
      <c r="E72" s="22"/>
      <c r="F72" s="23"/>
      <c r="G72" s="23"/>
      <c r="H72" s="24"/>
      <c r="I72" s="24"/>
      <c r="J72" s="24">
        <v>330</v>
      </c>
      <c r="K72" s="108" t="s">
        <v>27</v>
      </c>
    </row>
    <row r="73" spans="2:11" s="123" customFormat="1" ht="56.25" customHeight="1" thickTop="1" x14ac:dyDescent="0.2">
      <c r="B73" s="265" t="s">
        <v>463</v>
      </c>
      <c r="C73" s="266"/>
      <c r="D73" s="266"/>
      <c r="E73" s="266"/>
      <c r="F73" s="266"/>
      <c r="G73" s="266"/>
      <c r="H73" s="266"/>
      <c r="I73" s="266"/>
      <c r="J73" s="266"/>
      <c r="K73" s="266"/>
    </row>
    <row r="74" spans="2:11" s="123" customFormat="1" ht="15.75" thickBot="1" x14ac:dyDescent="0.25">
      <c r="B74" s="22" t="s">
        <v>329</v>
      </c>
      <c r="C74" s="22"/>
      <c r="D74" s="22"/>
      <c r="E74" s="22"/>
      <c r="F74" s="23"/>
      <c r="G74" s="23"/>
      <c r="H74" s="24"/>
      <c r="I74" s="24"/>
      <c r="J74" s="24">
        <v>500</v>
      </c>
      <c r="K74" s="108" t="s">
        <v>27</v>
      </c>
    </row>
    <row r="75" spans="2:11" s="123" customFormat="1" ht="69" customHeight="1" thickTop="1" x14ac:dyDescent="0.2">
      <c r="B75" s="265" t="s">
        <v>464</v>
      </c>
      <c r="C75" s="266"/>
      <c r="D75" s="266"/>
      <c r="E75" s="266"/>
      <c r="F75" s="266"/>
      <c r="G75" s="266"/>
      <c r="H75" s="266"/>
      <c r="I75" s="266"/>
      <c r="J75" s="266"/>
      <c r="K75" s="266"/>
    </row>
    <row r="76" spans="2:11" s="123" customFormat="1" ht="15.75" thickBot="1" x14ac:dyDescent="0.25">
      <c r="B76" s="22" t="s">
        <v>330</v>
      </c>
      <c r="C76" s="22"/>
      <c r="D76" s="22"/>
      <c r="E76" s="22"/>
      <c r="F76" s="23"/>
      <c r="G76" s="23"/>
      <c r="H76" s="24"/>
      <c r="I76" s="24"/>
      <c r="J76" s="24">
        <v>10</v>
      </c>
      <c r="K76" s="108" t="s">
        <v>27</v>
      </c>
    </row>
    <row r="77" spans="2:11" s="123" customFormat="1" ht="39.950000000000003" customHeight="1" thickTop="1" x14ac:dyDescent="0.2">
      <c r="B77" s="265" t="s">
        <v>382</v>
      </c>
      <c r="C77" s="266"/>
      <c r="D77" s="266"/>
      <c r="E77" s="266"/>
      <c r="F77" s="266"/>
      <c r="G77" s="266"/>
      <c r="H77" s="266"/>
      <c r="I77" s="266"/>
      <c r="J77" s="266"/>
      <c r="K77" s="266"/>
    </row>
    <row r="78" spans="2:11" s="123" customFormat="1" ht="15.75" thickBot="1" x14ac:dyDescent="0.25">
      <c r="B78" s="22" t="s">
        <v>331</v>
      </c>
      <c r="C78" s="22"/>
      <c r="D78" s="22"/>
      <c r="E78" s="22"/>
      <c r="F78" s="23"/>
      <c r="G78" s="23"/>
      <c r="H78" s="24"/>
      <c r="I78" s="24"/>
      <c r="J78" s="24">
        <v>300</v>
      </c>
      <c r="K78" s="108" t="s">
        <v>27</v>
      </c>
    </row>
    <row r="79" spans="2:11" s="123" customFormat="1" ht="41.1" customHeight="1" thickTop="1" x14ac:dyDescent="0.2">
      <c r="B79" s="269" t="s">
        <v>628</v>
      </c>
      <c r="C79" s="270"/>
      <c r="D79" s="270"/>
      <c r="E79" s="270"/>
      <c r="F79" s="270"/>
      <c r="G79" s="270"/>
      <c r="H79" s="270"/>
      <c r="I79" s="270"/>
      <c r="J79" s="270"/>
      <c r="K79" s="270"/>
    </row>
    <row r="80" spans="2:11" s="123" customFormat="1" ht="15.75" thickBot="1" x14ac:dyDescent="0.25">
      <c r="B80" s="22" t="s">
        <v>332</v>
      </c>
      <c r="C80" s="22"/>
      <c r="D80" s="22"/>
      <c r="E80" s="22"/>
      <c r="F80" s="23"/>
      <c r="G80" s="23"/>
      <c r="H80" s="24"/>
      <c r="I80" s="24"/>
      <c r="J80" s="24">
        <v>50</v>
      </c>
      <c r="K80" s="108" t="s">
        <v>27</v>
      </c>
    </row>
    <row r="81" spans="2:11" s="123" customFormat="1" ht="70.5" customHeight="1" thickTop="1" x14ac:dyDescent="0.2">
      <c r="B81" s="269" t="s">
        <v>632</v>
      </c>
      <c r="C81" s="270"/>
      <c r="D81" s="270"/>
      <c r="E81" s="270"/>
      <c r="F81" s="270"/>
      <c r="G81" s="270"/>
      <c r="H81" s="270"/>
      <c r="I81" s="270"/>
      <c r="J81" s="270"/>
      <c r="K81" s="270"/>
    </row>
    <row r="82" spans="2:11" s="123" customFormat="1" ht="16.5" customHeight="1" x14ac:dyDescent="0.2">
      <c r="B82" s="235"/>
      <c r="C82" s="125"/>
      <c r="D82" s="125"/>
      <c r="E82" s="125"/>
      <c r="F82" s="125"/>
      <c r="G82" s="125"/>
      <c r="H82" s="125"/>
      <c r="I82" s="125"/>
      <c r="J82" s="125"/>
      <c r="K82" s="125"/>
    </row>
    <row r="83" spans="2:11" s="123" customFormat="1" ht="15.75" thickBot="1" x14ac:dyDescent="0.25">
      <c r="B83" s="22" t="s">
        <v>333</v>
      </c>
      <c r="C83" s="22"/>
      <c r="D83" s="22"/>
      <c r="E83" s="22"/>
      <c r="F83" s="23"/>
      <c r="G83" s="23"/>
      <c r="H83" s="24"/>
      <c r="I83" s="24"/>
      <c r="J83" s="24">
        <v>200</v>
      </c>
      <c r="K83" s="108" t="s">
        <v>27</v>
      </c>
    </row>
    <row r="84" spans="2:11" s="123" customFormat="1" ht="57.75" customHeight="1" thickTop="1" x14ac:dyDescent="0.2">
      <c r="B84" s="271" t="s">
        <v>465</v>
      </c>
      <c r="C84" s="272"/>
      <c r="D84" s="272"/>
      <c r="E84" s="272"/>
      <c r="F84" s="272"/>
      <c r="G84" s="272"/>
      <c r="H84" s="272"/>
      <c r="I84" s="272"/>
      <c r="J84" s="272"/>
      <c r="K84" s="272"/>
    </row>
    <row r="85" spans="2:11" s="123" customFormat="1" ht="15.75" thickBot="1" x14ac:dyDescent="0.25">
      <c r="B85" s="22" t="s">
        <v>334</v>
      </c>
      <c r="C85" s="22"/>
      <c r="D85" s="22"/>
      <c r="E85" s="22"/>
      <c r="F85" s="23"/>
      <c r="G85" s="23"/>
      <c r="H85" s="24"/>
      <c r="I85" s="24"/>
      <c r="J85" s="24">
        <v>920</v>
      </c>
      <c r="K85" s="108" t="s">
        <v>27</v>
      </c>
    </row>
    <row r="86" spans="2:11" s="123" customFormat="1" ht="65.25" customHeight="1" thickTop="1" x14ac:dyDescent="0.2">
      <c r="B86" s="265" t="s">
        <v>466</v>
      </c>
      <c r="C86" s="266"/>
      <c r="D86" s="266"/>
      <c r="E86" s="266"/>
      <c r="F86" s="266"/>
      <c r="G86" s="266"/>
      <c r="H86" s="266"/>
      <c r="I86" s="266"/>
      <c r="J86" s="266"/>
      <c r="K86" s="266"/>
    </row>
    <row r="87" spans="2:11" s="123" customFormat="1" ht="15.75" thickBot="1" x14ac:dyDescent="0.25">
      <c r="B87" s="22" t="s">
        <v>335</v>
      </c>
      <c r="C87" s="22"/>
      <c r="D87" s="22"/>
      <c r="E87" s="22"/>
      <c r="F87" s="23"/>
      <c r="G87" s="23"/>
      <c r="H87" s="24"/>
      <c r="I87" s="24"/>
      <c r="J87" s="24">
        <v>100</v>
      </c>
      <c r="K87" s="108" t="s">
        <v>27</v>
      </c>
    </row>
    <row r="88" spans="2:11" s="123" customFormat="1" ht="35.1" customHeight="1" thickTop="1" x14ac:dyDescent="0.2">
      <c r="B88" s="269" t="s">
        <v>467</v>
      </c>
      <c r="C88" s="270"/>
      <c r="D88" s="270"/>
      <c r="E88" s="270"/>
      <c r="F88" s="270"/>
      <c r="G88" s="270"/>
      <c r="H88" s="270"/>
      <c r="I88" s="270"/>
      <c r="J88" s="270"/>
      <c r="K88" s="270"/>
    </row>
    <row r="89" spans="2:11" s="123" customFormat="1" ht="15.75" thickBot="1" x14ac:dyDescent="0.25">
      <c r="B89" s="22" t="s">
        <v>26</v>
      </c>
      <c r="C89" s="22"/>
      <c r="D89" s="22"/>
      <c r="E89" s="22"/>
      <c r="F89" s="23"/>
      <c r="G89" s="23"/>
      <c r="H89" s="24"/>
      <c r="I89" s="24"/>
      <c r="J89" s="24">
        <v>8000</v>
      </c>
      <c r="K89" s="108" t="s">
        <v>27</v>
      </c>
    </row>
    <row r="90" spans="2:11" s="123" customFormat="1" ht="363" customHeight="1" thickTop="1" x14ac:dyDescent="0.2">
      <c r="B90" s="265" t="s">
        <v>629</v>
      </c>
      <c r="C90" s="266"/>
      <c r="D90" s="266"/>
      <c r="E90" s="266"/>
      <c r="F90" s="266"/>
      <c r="G90" s="266"/>
      <c r="H90" s="266"/>
      <c r="I90" s="266"/>
      <c r="J90" s="266"/>
      <c r="K90" s="266"/>
    </row>
    <row r="91" spans="2:11" s="123" customFormat="1" ht="15.75" thickBot="1" x14ac:dyDescent="0.25">
      <c r="B91" s="22" t="s">
        <v>336</v>
      </c>
      <c r="C91" s="22"/>
      <c r="D91" s="22"/>
      <c r="E91" s="22"/>
      <c r="F91" s="23"/>
      <c r="G91" s="23"/>
      <c r="H91" s="24"/>
      <c r="I91" s="24"/>
      <c r="J91" s="24">
        <v>100</v>
      </c>
      <c r="K91" s="108" t="s">
        <v>27</v>
      </c>
    </row>
    <row r="92" spans="2:11" s="123" customFormat="1" ht="72" customHeight="1" thickTop="1" x14ac:dyDescent="0.2">
      <c r="B92" s="269" t="s">
        <v>630</v>
      </c>
      <c r="C92" s="270"/>
      <c r="D92" s="270"/>
      <c r="E92" s="270"/>
      <c r="F92" s="270"/>
      <c r="G92" s="270"/>
      <c r="H92" s="270"/>
      <c r="I92" s="270"/>
      <c r="J92" s="270"/>
      <c r="K92" s="270"/>
    </row>
    <row r="93" spans="2:11" s="123" customFormat="1" ht="15.75" thickBot="1" x14ac:dyDescent="0.25">
      <c r="B93" s="22" t="s">
        <v>337</v>
      </c>
      <c r="C93" s="22"/>
      <c r="D93" s="22"/>
      <c r="E93" s="22"/>
      <c r="F93" s="23"/>
      <c r="G93" s="23"/>
      <c r="H93" s="24"/>
      <c r="I93" s="24"/>
      <c r="J93" s="24">
        <v>100</v>
      </c>
      <c r="K93" s="108" t="s">
        <v>27</v>
      </c>
    </row>
    <row r="94" spans="2:11" s="123" customFormat="1" ht="40.5" customHeight="1" thickTop="1" x14ac:dyDescent="0.2">
      <c r="B94" s="265" t="s">
        <v>469</v>
      </c>
      <c r="C94" s="266"/>
      <c r="D94" s="266"/>
      <c r="E94" s="266"/>
      <c r="F94" s="266"/>
      <c r="G94" s="266"/>
      <c r="H94" s="266"/>
      <c r="I94" s="266"/>
      <c r="J94" s="266"/>
      <c r="K94" s="266"/>
    </row>
    <row r="95" spans="2:11" s="123" customFormat="1" ht="15.75" thickBot="1" x14ac:dyDescent="0.25">
      <c r="B95" s="22" t="s">
        <v>338</v>
      </c>
      <c r="C95" s="22"/>
      <c r="D95" s="22"/>
      <c r="E95" s="22"/>
      <c r="F95" s="23"/>
      <c r="G95" s="23"/>
      <c r="H95" s="24"/>
      <c r="I95" s="24"/>
      <c r="J95" s="24">
        <v>1600</v>
      </c>
      <c r="K95" s="108" t="s">
        <v>27</v>
      </c>
    </row>
    <row r="96" spans="2:11" s="123" customFormat="1" ht="78.95" customHeight="1" thickTop="1" x14ac:dyDescent="0.2">
      <c r="B96" s="265" t="s">
        <v>468</v>
      </c>
      <c r="C96" s="266"/>
      <c r="D96" s="266"/>
      <c r="E96" s="266"/>
      <c r="F96" s="266"/>
      <c r="G96" s="266"/>
      <c r="H96" s="266"/>
      <c r="I96" s="266"/>
      <c r="J96" s="266"/>
      <c r="K96" s="266"/>
    </row>
    <row r="97" spans="2:11" s="123" customFormat="1" ht="15.75" thickBot="1" x14ac:dyDescent="0.25">
      <c r="B97" s="22" t="s">
        <v>339</v>
      </c>
      <c r="C97" s="22"/>
      <c r="D97" s="22"/>
      <c r="E97" s="22"/>
      <c r="F97" s="23"/>
      <c r="G97" s="23"/>
      <c r="H97" s="24"/>
      <c r="I97" s="24"/>
      <c r="J97" s="24">
        <v>1500</v>
      </c>
      <c r="K97" s="108" t="s">
        <v>27</v>
      </c>
    </row>
    <row r="98" spans="2:11" s="123" customFormat="1" ht="45" customHeight="1" thickTop="1" x14ac:dyDescent="0.2">
      <c r="B98" s="265" t="s">
        <v>663</v>
      </c>
      <c r="C98" s="266"/>
      <c r="D98" s="266"/>
      <c r="E98" s="266"/>
      <c r="F98" s="266"/>
      <c r="G98" s="266"/>
      <c r="H98" s="266"/>
      <c r="I98" s="266"/>
      <c r="J98" s="266"/>
      <c r="K98" s="266"/>
    </row>
    <row r="99" spans="2:11" s="123" customFormat="1" ht="15.75" thickBot="1" x14ac:dyDescent="0.25">
      <c r="B99" s="22" t="s">
        <v>340</v>
      </c>
      <c r="C99" s="22"/>
      <c r="D99" s="22"/>
      <c r="E99" s="22"/>
      <c r="F99" s="23"/>
      <c r="G99" s="23"/>
      <c r="H99" s="24"/>
      <c r="I99" s="24"/>
      <c r="J99" s="24">
        <v>50</v>
      </c>
      <c r="K99" s="108" t="s">
        <v>27</v>
      </c>
    </row>
    <row r="100" spans="2:11" s="123" customFormat="1" ht="57.75" customHeight="1" thickTop="1" x14ac:dyDescent="0.2">
      <c r="B100" s="265" t="s">
        <v>470</v>
      </c>
      <c r="C100" s="266"/>
      <c r="D100" s="266"/>
      <c r="E100" s="266"/>
      <c r="F100" s="266"/>
      <c r="G100" s="266"/>
      <c r="H100" s="266"/>
      <c r="I100" s="266"/>
      <c r="J100" s="266"/>
      <c r="K100" s="266"/>
    </row>
    <row r="101" spans="2:11" s="123" customFormat="1" ht="15.75" thickBot="1" x14ac:dyDescent="0.25">
      <c r="B101" s="22" t="s">
        <v>341</v>
      </c>
      <c r="C101" s="22"/>
      <c r="D101" s="22"/>
      <c r="E101" s="22"/>
      <c r="F101" s="23"/>
      <c r="G101" s="23"/>
      <c r="H101" s="24"/>
      <c r="I101" s="24"/>
      <c r="J101" s="24">
        <v>70</v>
      </c>
      <c r="K101" s="108" t="s">
        <v>27</v>
      </c>
    </row>
    <row r="102" spans="2:11" s="123" customFormat="1" ht="23.1" customHeight="1" thickTop="1" x14ac:dyDescent="0.2">
      <c r="B102" s="269" t="s">
        <v>383</v>
      </c>
      <c r="C102" s="270"/>
      <c r="D102" s="270"/>
      <c r="E102" s="270"/>
      <c r="F102" s="270"/>
      <c r="G102" s="270"/>
      <c r="H102" s="270"/>
      <c r="I102" s="270"/>
      <c r="J102" s="270"/>
      <c r="K102" s="270"/>
    </row>
    <row r="103" spans="2:11" s="123" customFormat="1" ht="16.5" customHeight="1" x14ac:dyDescent="0.2">
      <c r="B103" s="235"/>
      <c r="C103" s="125"/>
      <c r="D103" s="125"/>
      <c r="E103" s="125"/>
      <c r="F103" s="125"/>
      <c r="G103" s="125"/>
      <c r="H103" s="125"/>
      <c r="I103" s="125"/>
      <c r="J103" s="125"/>
      <c r="K103" s="125"/>
    </row>
    <row r="104" spans="2:11" s="123" customFormat="1" ht="15.75" thickBot="1" x14ac:dyDescent="0.25">
      <c r="B104" s="22" t="s">
        <v>342</v>
      </c>
      <c r="C104" s="22"/>
      <c r="D104" s="22"/>
      <c r="E104" s="22"/>
      <c r="F104" s="23"/>
      <c r="G104" s="23"/>
      <c r="H104" s="24"/>
      <c r="I104" s="24"/>
      <c r="J104" s="24">
        <v>50</v>
      </c>
      <c r="K104" s="108" t="s">
        <v>27</v>
      </c>
    </row>
    <row r="105" spans="2:11" s="123" customFormat="1" ht="58.5" customHeight="1" thickTop="1" x14ac:dyDescent="0.2">
      <c r="B105" s="265" t="s">
        <v>471</v>
      </c>
      <c r="C105" s="266"/>
      <c r="D105" s="266"/>
      <c r="E105" s="266"/>
      <c r="F105" s="266"/>
      <c r="G105" s="266"/>
      <c r="H105" s="266"/>
      <c r="I105" s="266"/>
      <c r="J105" s="266"/>
      <c r="K105" s="266"/>
    </row>
    <row r="106" spans="2:11" s="123" customFormat="1" ht="15.75" thickBot="1" x14ac:dyDescent="0.25">
      <c r="B106" s="22" t="s">
        <v>343</v>
      </c>
      <c r="C106" s="22"/>
      <c r="D106" s="22"/>
      <c r="E106" s="22"/>
      <c r="F106" s="23"/>
      <c r="G106" s="23"/>
      <c r="H106" s="24"/>
      <c r="I106" s="24"/>
      <c r="J106" s="24">
        <v>1000</v>
      </c>
      <c r="K106" s="108" t="s">
        <v>27</v>
      </c>
    </row>
    <row r="107" spans="2:11" s="123" customFormat="1" ht="23.1" customHeight="1" thickTop="1" x14ac:dyDescent="0.2">
      <c r="B107" s="269" t="s">
        <v>384</v>
      </c>
      <c r="C107" s="270"/>
      <c r="D107" s="270"/>
      <c r="E107" s="270"/>
      <c r="F107" s="270"/>
      <c r="G107" s="270"/>
      <c r="H107" s="270"/>
      <c r="I107" s="270"/>
      <c r="J107" s="270"/>
      <c r="K107" s="270"/>
    </row>
    <row r="108" spans="2:11" s="123" customFormat="1" ht="15.75" thickBot="1" x14ac:dyDescent="0.25">
      <c r="B108" s="22" t="s">
        <v>344</v>
      </c>
      <c r="C108" s="22"/>
      <c r="D108" s="22"/>
      <c r="E108" s="22"/>
      <c r="F108" s="23"/>
      <c r="G108" s="23"/>
      <c r="H108" s="24"/>
      <c r="I108" s="24"/>
      <c r="J108" s="24">
        <v>5</v>
      </c>
      <c r="K108" s="108" t="s">
        <v>27</v>
      </c>
    </row>
    <row r="109" spans="2:11" s="206" customFormat="1" ht="38.25" customHeight="1" thickTop="1" x14ac:dyDescent="0.2">
      <c r="B109" s="265" t="s">
        <v>472</v>
      </c>
      <c r="C109" s="266"/>
      <c r="D109" s="266"/>
      <c r="E109" s="266"/>
      <c r="F109" s="266"/>
      <c r="G109" s="266"/>
      <c r="H109" s="266"/>
      <c r="I109" s="266"/>
      <c r="J109" s="266"/>
      <c r="K109" s="266"/>
    </row>
    <row r="110" spans="2:11" s="123" customFormat="1" ht="15.75" thickBot="1" x14ac:dyDescent="0.25">
      <c r="B110" s="22" t="s">
        <v>345</v>
      </c>
      <c r="C110" s="22"/>
      <c r="D110" s="22"/>
      <c r="E110" s="22"/>
      <c r="F110" s="23"/>
      <c r="G110" s="23"/>
      <c r="H110" s="24"/>
      <c r="I110" s="24"/>
      <c r="J110" s="24">
        <v>5</v>
      </c>
      <c r="K110" s="108" t="s">
        <v>27</v>
      </c>
    </row>
    <row r="111" spans="2:11" s="123" customFormat="1" ht="42.75" customHeight="1" thickTop="1" x14ac:dyDescent="0.2">
      <c r="B111" s="265" t="s">
        <v>472</v>
      </c>
      <c r="C111" s="266"/>
      <c r="D111" s="266"/>
      <c r="E111" s="266"/>
      <c r="F111" s="266"/>
      <c r="G111" s="266"/>
      <c r="H111" s="266"/>
      <c r="I111" s="266"/>
      <c r="J111" s="266"/>
      <c r="K111" s="266"/>
    </row>
    <row r="112" spans="2:11" s="123" customFormat="1" ht="15.75" thickBot="1" x14ac:dyDescent="0.25">
      <c r="B112" s="22" t="s">
        <v>346</v>
      </c>
      <c r="C112" s="22"/>
      <c r="D112" s="22"/>
      <c r="E112" s="22"/>
      <c r="F112" s="23"/>
      <c r="G112" s="23"/>
      <c r="H112" s="24"/>
      <c r="I112" s="24"/>
      <c r="J112" s="24">
        <v>50</v>
      </c>
      <c r="K112" s="108" t="s">
        <v>27</v>
      </c>
    </row>
    <row r="113" spans="2:11" s="123" customFormat="1" ht="26.1" customHeight="1" thickTop="1" x14ac:dyDescent="0.2">
      <c r="B113" s="269" t="s">
        <v>385</v>
      </c>
      <c r="C113" s="270"/>
      <c r="D113" s="270"/>
      <c r="E113" s="270"/>
      <c r="F113" s="270"/>
      <c r="G113" s="270"/>
      <c r="H113" s="270"/>
      <c r="I113" s="270"/>
      <c r="J113" s="270"/>
      <c r="K113" s="270"/>
    </row>
    <row r="114" spans="2:11" s="123" customFormat="1" ht="15.75" thickBot="1" x14ac:dyDescent="0.25">
      <c r="B114" s="22" t="s">
        <v>347</v>
      </c>
      <c r="C114" s="22"/>
      <c r="D114" s="22"/>
      <c r="E114" s="22"/>
      <c r="F114" s="23"/>
      <c r="G114" s="23"/>
      <c r="H114" s="24"/>
      <c r="I114" s="24"/>
      <c r="J114" s="24">
        <v>15</v>
      </c>
      <c r="K114" s="108" t="s">
        <v>27</v>
      </c>
    </row>
    <row r="115" spans="2:11" s="123" customFormat="1" ht="21" customHeight="1" thickTop="1" x14ac:dyDescent="0.2">
      <c r="B115" s="269" t="s">
        <v>386</v>
      </c>
      <c r="C115" s="270"/>
      <c r="D115" s="270"/>
      <c r="E115" s="270"/>
      <c r="F115" s="270"/>
      <c r="G115" s="270"/>
      <c r="H115" s="270"/>
      <c r="I115" s="270"/>
      <c r="J115" s="270"/>
      <c r="K115" s="270"/>
    </row>
    <row r="116" spans="2:11" s="123" customFormat="1" ht="15.75" thickBot="1" x14ac:dyDescent="0.25">
      <c r="B116" s="22" t="s">
        <v>281</v>
      </c>
      <c r="C116" s="22"/>
      <c r="D116" s="22"/>
      <c r="E116" s="22"/>
      <c r="F116" s="23"/>
      <c r="G116" s="23"/>
      <c r="H116" s="24"/>
      <c r="I116" s="24"/>
      <c r="J116" s="24">
        <v>273</v>
      </c>
      <c r="K116" s="108" t="s">
        <v>27</v>
      </c>
    </row>
    <row r="117" spans="2:11" s="123" customFormat="1" ht="40.5" customHeight="1" thickTop="1" x14ac:dyDescent="0.2">
      <c r="B117" s="265" t="s">
        <v>473</v>
      </c>
      <c r="C117" s="266"/>
      <c r="D117" s="266"/>
      <c r="E117" s="266"/>
      <c r="F117" s="266"/>
      <c r="G117" s="266"/>
      <c r="H117" s="266"/>
      <c r="I117" s="266"/>
      <c r="J117" s="266"/>
      <c r="K117" s="266"/>
    </row>
    <row r="118" spans="2:11" s="123" customFormat="1" ht="14.25" x14ac:dyDescent="0.2">
      <c r="K118" s="186"/>
    </row>
    <row r="119" spans="2:11" s="123" customFormat="1" ht="14.25" x14ac:dyDescent="0.2">
      <c r="K119" s="186"/>
    </row>
    <row r="120" spans="2:11" s="123" customFormat="1" ht="14.25" x14ac:dyDescent="0.2">
      <c r="K120" s="186"/>
    </row>
    <row r="121" spans="2:11" s="123" customFormat="1" ht="14.25" x14ac:dyDescent="0.2">
      <c r="K121" s="186"/>
    </row>
    <row r="122" spans="2:11" s="123" customFormat="1" ht="14.25" x14ac:dyDescent="0.2">
      <c r="K122" s="186"/>
    </row>
    <row r="123" spans="2:11" s="123" customFormat="1" ht="14.25" x14ac:dyDescent="0.2">
      <c r="K123" s="186"/>
    </row>
    <row r="124" spans="2:11" s="123" customFormat="1" ht="14.25" x14ac:dyDescent="0.2">
      <c r="K124" s="186"/>
    </row>
    <row r="125" spans="2:11" s="123" customFormat="1" ht="14.25" x14ac:dyDescent="0.2">
      <c r="K125" s="186"/>
    </row>
    <row r="126" spans="2:11" s="123" customFormat="1" ht="14.25" x14ac:dyDescent="0.2">
      <c r="K126" s="186"/>
    </row>
    <row r="127" spans="2:11" s="123" customFormat="1" ht="14.25" x14ac:dyDescent="0.2">
      <c r="K127" s="186"/>
    </row>
    <row r="128" spans="2:11" s="123" customFormat="1" ht="14.25" x14ac:dyDescent="0.2">
      <c r="K128" s="186"/>
    </row>
    <row r="129" spans="11:11" s="123" customFormat="1" ht="14.25" x14ac:dyDescent="0.2">
      <c r="K129" s="186"/>
    </row>
    <row r="130" spans="11:11" s="123" customFormat="1" ht="14.25" x14ac:dyDescent="0.2">
      <c r="K130" s="186"/>
    </row>
  </sheetData>
  <mergeCells count="35">
    <mergeCell ref="B117:K117"/>
    <mergeCell ref="B94:K94"/>
    <mergeCell ref="B96:K96"/>
    <mergeCell ref="B98:K98"/>
    <mergeCell ref="B100:K100"/>
    <mergeCell ref="B102:K102"/>
    <mergeCell ref="B115:K115"/>
    <mergeCell ref="B105:K105"/>
    <mergeCell ref="B107:K107"/>
    <mergeCell ref="B109:K109"/>
    <mergeCell ref="B111:K111"/>
    <mergeCell ref="B113:K113"/>
    <mergeCell ref="B65:K65"/>
    <mergeCell ref="B67:K67"/>
    <mergeCell ref="B92:K92"/>
    <mergeCell ref="B71:K71"/>
    <mergeCell ref="B73:K73"/>
    <mergeCell ref="B75:K75"/>
    <mergeCell ref="B77:K77"/>
    <mergeCell ref="B79:K79"/>
    <mergeCell ref="B81:K81"/>
    <mergeCell ref="B69:K69"/>
    <mergeCell ref="B84:K84"/>
    <mergeCell ref="B86:K86"/>
    <mergeCell ref="B88:K88"/>
    <mergeCell ref="B90:K90"/>
    <mergeCell ref="B57:K57"/>
    <mergeCell ref="B59:K59"/>
    <mergeCell ref="B61:K61"/>
    <mergeCell ref="B63:K63"/>
    <mergeCell ref="B2:F2"/>
    <mergeCell ref="B48:K48"/>
    <mergeCell ref="B50:K50"/>
    <mergeCell ref="B53:K53"/>
    <mergeCell ref="B55:K55"/>
  </mergeCells>
  <pageMargins left="0.70866141732283472" right="0.70866141732283472" top="0.78740157480314965" bottom="0.78740157480314965" header="0.31496062992125984" footer="0.31496062992125984"/>
  <pageSetup paperSize="9" scale="74" firstPageNumber="23" fitToHeight="9999" orientation="portrait" useFirstPageNumber="1" r:id="rId1"/>
  <headerFooter>
    <oddFooter>&amp;L&amp;"Arial CE,Kurzíva"Zastupitelstvo Olomouckého kraje 16-12-2011
6. - Rozpočet Olomouckého kraje 2012 - návrh rozpočtu 
Příloha č. 3a): Výdaje odborů (kanceláří)&amp;R&amp;"Arial CE,Kurzíva"Strana &amp;P (celkem 167)</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pageSetUpPr fitToPage="1"/>
  </sheetPr>
  <dimension ref="B2:K187"/>
  <sheetViews>
    <sheetView showGridLines="0" view="pageBreakPreview" topLeftCell="A160" zoomScaleNormal="100" zoomScaleSheetLayoutView="100" workbookViewId="0">
      <selection activeCell="J22" sqref="J22"/>
    </sheetView>
  </sheetViews>
  <sheetFormatPr defaultRowHeight="12.75" x14ac:dyDescent="0.2"/>
  <cols>
    <col min="1" max="1" width="0.85546875" customWidth="1"/>
    <col min="2" max="3" width="4.7109375" customWidth="1"/>
    <col min="4" max="4" width="9.7109375" customWidth="1"/>
    <col min="5" max="5" width="11.7109375" customWidth="1"/>
    <col min="6" max="6" width="37.7109375" customWidth="1"/>
    <col min="7" max="10" width="10.7109375" customWidth="1"/>
    <col min="11" max="11" width="7.7109375" style="107" customWidth="1"/>
  </cols>
  <sheetData>
    <row r="2" spans="2:11" ht="27.95" customHeight="1" x14ac:dyDescent="0.2">
      <c r="B2" s="267" t="s">
        <v>282</v>
      </c>
      <c r="C2" s="268"/>
      <c r="D2" s="268"/>
      <c r="E2" s="268"/>
      <c r="F2" s="268"/>
      <c r="G2" s="3"/>
      <c r="H2" s="3"/>
      <c r="I2" s="3"/>
      <c r="J2" s="3"/>
      <c r="K2" s="98" t="s">
        <v>283</v>
      </c>
    </row>
    <row r="4" spans="2:11" s="123" customFormat="1" ht="15" x14ac:dyDescent="0.2">
      <c r="B4" s="188" t="s">
        <v>0</v>
      </c>
      <c r="C4" s="188"/>
      <c r="D4" s="188" t="s">
        <v>284</v>
      </c>
      <c r="E4" s="189"/>
      <c r="F4" s="189"/>
      <c r="G4" s="189"/>
      <c r="H4" s="189"/>
      <c r="I4" s="189"/>
      <c r="J4" s="189"/>
      <c r="K4" s="190"/>
    </row>
    <row r="5" spans="2:11" s="123" customFormat="1" ht="15" x14ac:dyDescent="0.2">
      <c r="B5" s="188"/>
      <c r="C5" s="188"/>
      <c r="D5" s="188" t="s">
        <v>2</v>
      </c>
      <c r="E5" s="189"/>
      <c r="F5" s="189"/>
      <c r="G5" s="189"/>
      <c r="H5" s="189"/>
      <c r="I5" s="189"/>
      <c r="J5" s="189"/>
      <c r="K5" s="190"/>
    </row>
    <row r="6" spans="2:11" ht="13.5" thickBot="1" x14ac:dyDescent="0.25">
      <c r="B6" s="5"/>
      <c r="C6" s="5"/>
      <c r="D6" s="5"/>
      <c r="E6" s="5"/>
      <c r="F6" s="5"/>
      <c r="G6" s="5"/>
      <c r="H6" s="5"/>
      <c r="I6" s="5"/>
      <c r="J6" s="5"/>
      <c r="K6" s="99" t="s">
        <v>3</v>
      </c>
    </row>
    <row r="7" spans="2:11" ht="35.1" customHeight="1" x14ac:dyDescent="0.2">
      <c r="B7" s="7" t="s">
        <v>4</v>
      </c>
      <c r="C7" s="8" t="s">
        <v>5</v>
      </c>
      <c r="D7" s="8" t="s">
        <v>6</v>
      </c>
      <c r="E7" s="8" t="s">
        <v>7</v>
      </c>
      <c r="F7" s="6" t="s">
        <v>8</v>
      </c>
      <c r="G7" s="6" t="s">
        <v>9</v>
      </c>
      <c r="H7" s="6" t="s">
        <v>10</v>
      </c>
      <c r="I7" s="6" t="s">
        <v>11</v>
      </c>
      <c r="J7" s="6" t="s">
        <v>12</v>
      </c>
      <c r="K7" s="100" t="s">
        <v>13</v>
      </c>
    </row>
    <row r="8" spans="2:11" ht="13.5" thickBot="1" x14ac:dyDescent="0.25">
      <c r="B8" s="10">
        <v>1</v>
      </c>
      <c r="C8" s="11">
        <v>2</v>
      </c>
      <c r="D8" s="11">
        <v>3</v>
      </c>
      <c r="E8" s="11">
        <v>4</v>
      </c>
      <c r="F8" s="12">
        <v>5</v>
      </c>
      <c r="G8" s="12">
        <v>6</v>
      </c>
      <c r="H8" s="12">
        <v>7</v>
      </c>
      <c r="I8" s="12">
        <v>8</v>
      </c>
      <c r="J8" s="12">
        <v>9</v>
      </c>
      <c r="K8" s="101" t="s">
        <v>14</v>
      </c>
    </row>
    <row r="9" spans="2:11" ht="15" x14ac:dyDescent="0.2">
      <c r="B9" s="88">
        <v>2143</v>
      </c>
      <c r="C9" s="89">
        <v>5139</v>
      </c>
      <c r="D9" s="89">
        <v>500</v>
      </c>
      <c r="E9" s="89">
        <v>20001000000</v>
      </c>
      <c r="F9" s="90" t="s">
        <v>18</v>
      </c>
      <c r="G9" s="91">
        <v>300</v>
      </c>
      <c r="H9" s="91">
        <v>300</v>
      </c>
      <c r="I9" s="91">
        <f>9581/100</f>
        <v>95.81</v>
      </c>
      <c r="J9" s="91">
        <v>300</v>
      </c>
      <c r="K9" s="103">
        <f>J9/G9*100</f>
        <v>100</v>
      </c>
    </row>
    <row r="10" spans="2:11" ht="16.5" customHeight="1" x14ac:dyDescent="0.2">
      <c r="B10" s="82">
        <v>2143</v>
      </c>
      <c r="C10" s="83">
        <v>5166</v>
      </c>
      <c r="D10" s="83">
        <v>0</v>
      </c>
      <c r="E10" s="83">
        <v>60007000000</v>
      </c>
      <c r="F10" s="84" t="s">
        <v>42</v>
      </c>
      <c r="G10" s="85">
        <v>0</v>
      </c>
      <c r="H10" s="85">
        <v>60</v>
      </c>
      <c r="I10" s="85">
        <v>0</v>
      </c>
      <c r="J10" s="85">
        <v>0</v>
      </c>
      <c r="K10" s="103"/>
    </row>
    <row r="11" spans="2:11" ht="16.5" customHeight="1" x14ac:dyDescent="0.2">
      <c r="B11" s="82">
        <v>2143</v>
      </c>
      <c r="C11" s="83">
        <v>5166</v>
      </c>
      <c r="D11" s="83">
        <v>500</v>
      </c>
      <c r="E11" s="83">
        <v>20000000000</v>
      </c>
      <c r="F11" s="84" t="s">
        <v>42</v>
      </c>
      <c r="G11" s="85">
        <v>0</v>
      </c>
      <c r="H11" s="85">
        <v>500</v>
      </c>
      <c r="I11" s="85">
        <v>0</v>
      </c>
      <c r="J11" s="85">
        <v>475</v>
      </c>
      <c r="K11" s="103"/>
    </row>
    <row r="12" spans="2:11" ht="15" x14ac:dyDescent="0.2">
      <c r="B12" s="82">
        <v>2143</v>
      </c>
      <c r="C12" s="83">
        <v>5169</v>
      </c>
      <c r="D12" s="83">
        <v>24</v>
      </c>
      <c r="E12" s="83">
        <v>20001000000</v>
      </c>
      <c r="F12" s="84" t="s">
        <v>15</v>
      </c>
      <c r="G12" s="85">
        <v>0</v>
      </c>
      <c r="H12" s="85">
        <v>315</v>
      </c>
      <c r="I12" s="85">
        <v>0</v>
      </c>
      <c r="J12" s="85">
        <v>0</v>
      </c>
      <c r="K12" s="103"/>
    </row>
    <row r="13" spans="2:11" ht="15" x14ac:dyDescent="0.2">
      <c r="B13" s="82">
        <v>2143</v>
      </c>
      <c r="C13" s="83">
        <v>5169</v>
      </c>
      <c r="D13" s="83">
        <v>500</v>
      </c>
      <c r="E13" s="83">
        <v>20001000000</v>
      </c>
      <c r="F13" s="84" t="s">
        <v>15</v>
      </c>
      <c r="G13" s="85">
        <v>6670</v>
      </c>
      <c r="H13" s="85">
        <f>429264/100</f>
        <v>4292.6400000000003</v>
      </c>
      <c r="I13" s="85">
        <f>180470/100</f>
        <v>1804.7</v>
      </c>
      <c r="J13" s="85">
        <v>5235</v>
      </c>
      <c r="K13" s="103">
        <f>J13/G13*100</f>
        <v>78.485757121439278</v>
      </c>
    </row>
    <row r="14" spans="2:11" ht="15" x14ac:dyDescent="0.2">
      <c r="B14" s="82">
        <v>2143</v>
      </c>
      <c r="C14" s="83">
        <v>5175</v>
      </c>
      <c r="D14" s="83">
        <v>500</v>
      </c>
      <c r="E14" s="83">
        <v>20001000000</v>
      </c>
      <c r="F14" s="84" t="s">
        <v>21</v>
      </c>
      <c r="G14" s="85">
        <v>15</v>
      </c>
      <c r="H14" s="85">
        <v>15</v>
      </c>
      <c r="I14" s="85">
        <f>882/100</f>
        <v>8.82</v>
      </c>
      <c r="J14" s="85">
        <v>15</v>
      </c>
      <c r="K14" s="103">
        <f t="shared" ref="K14:K76" si="0">J14/G14*100</f>
        <v>100</v>
      </c>
    </row>
    <row r="15" spans="2:11" ht="25.5" x14ac:dyDescent="0.2">
      <c r="B15" s="82">
        <v>2143</v>
      </c>
      <c r="C15" s="83">
        <v>5212</v>
      </c>
      <c r="D15" s="83">
        <v>500</v>
      </c>
      <c r="E15" s="83">
        <v>30102000000</v>
      </c>
      <c r="F15" s="84" t="s">
        <v>87</v>
      </c>
      <c r="G15" s="85">
        <v>0</v>
      </c>
      <c r="H15" s="85">
        <v>230</v>
      </c>
      <c r="I15" s="85">
        <v>230</v>
      </c>
      <c r="J15" s="85">
        <v>0</v>
      </c>
      <c r="K15" s="103"/>
    </row>
    <row r="16" spans="2:11" ht="25.5" x14ac:dyDescent="0.2">
      <c r="B16" s="82">
        <v>2143</v>
      </c>
      <c r="C16" s="83">
        <v>5212</v>
      </c>
      <c r="D16" s="83">
        <v>505</v>
      </c>
      <c r="E16" s="83">
        <v>30102000000</v>
      </c>
      <c r="F16" s="84" t="s">
        <v>87</v>
      </c>
      <c r="G16" s="85">
        <v>311</v>
      </c>
      <c r="H16" s="85">
        <v>311</v>
      </c>
      <c r="I16" s="85">
        <f>31070/100</f>
        <v>310.7</v>
      </c>
      <c r="J16" s="85">
        <v>350</v>
      </c>
      <c r="K16" s="103">
        <f t="shared" si="0"/>
        <v>112.54019292604502</v>
      </c>
    </row>
    <row r="17" spans="2:11" ht="25.5" x14ac:dyDescent="0.2">
      <c r="B17" s="82">
        <v>2143</v>
      </c>
      <c r="C17" s="83">
        <v>5213</v>
      </c>
      <c r="D17" s="83">
        <v>500</v>
      </c>
      <c r="E17" s="83">
        <v>30102000000</v>
      </c>
      <c r="F17" s="84" t="s">
        <v>88</v>
      </c>
      <c r="G17" s="85">
        <v>0</v>
      </c>
      <c r="H17" s="85">
        <f>21970/100</f>
        <v>219.7</v>
      </c>
      <c r="I17" s="85">
        <f>21970/100</f>
        <v>219.7</v>
      </c>
      <c r="J17" s="85">
        <v>0</v>
      </c>
      <c r="K17" s="103"/>
    </row>
    <row r="18" spans="2:11" ht="25.5" x14ac:dyDescent="0.2">
      <c r="B18" s="82">
        <v>2143</v>
      </c>
      <c r="C18" s="83">
        <v>5221</v>
      </c>
      <c r="D18" s="83">
        <v>500</v>
      </c>
      <c r="E18" s="83">
        <v>30101003022</v>
      </c>
      <c r="F18" s="84" t="s">
        <v>83</v>
      </c>
      <c r="G18" s="85">
        <v>0</v>
      </c>
      <c r="H18" s="85">
        <v>35</v>
      </c>
      <c r="I18" s="85">
        <v>35</v>
      </c>
      <c r="J18" s="85">
        <v>0</v>
      </c>
      <c r="K18" s="103"/>
    </row>
    <row r="19" spans="2:11" ht="25.5" x14ac:dyDescent="0.2">
      <c r="B19" s="82">
        <v>2143</v>
      </c>
      <c r="C19" s="83">
        <v>5222</v>
      </c>
      <c r="D19" s="83">
        <v>500</v>
      </c>
      <c r="E19" s="83">
        <v>30101000000</v>
      </c>
      <c r="F19" s="84" t="s">
        <v>84</v>
      </c>
      <c r="G19" s="85">
        <v>0</v>
      </c>
      <c r="H19" s="85">
        <v>680</v>
      </c>
      <c r="I19" s="85">
        <v>680</v>
      </c>
      <c r="J19" s="85">
        <v>0</v>
      </c>
      <c r="K19" s="103"/>
    </row>
    <row r="20" spans="2:11" ht="25.5" x14ac:dyDescent="0.2">
      <c r="B20" s="82">
        <v>2143</v>
      </c>
      <c r="C20" s="83">
        <v>5222</v>
      </c>
      <c r="D20" s="83">
        <v>503</v>
      </c>
      <c r="E20" s="83">
        <v>30101000000</v>
      </c>
      <c r="F20" s="84" t="s">
        <v>84</v>
      </c>
      <c r="G20" s="85">
        <v>600</v>
      </c>
      <c r="H20" s="85">
        <v>400</v>
      </c>
      <c r="I20" s="85">
        <v>400</v>
      </c>
      <c r="J20" s="173">
        <v>400</v>
      </c>
      <c r="K20" s="103">
        <f t="shared" si="0"/>
        <v>66.666666666666657</v>
      </c>
    </row>
    <row r="21" spans="2:11" ht="25.5" x14ac:dyDescent="0.2">
      <c r="B21" s="82">
        <v>2143</v>
      </c>
      <c r="C21" s="83">
        <v>5229</v>
      </c>
      <c r="D21" s="83">
        <v>16</v>
      </c>
      <c r="E21" s="83"/>
      <c r="F21" s="84" t="s">
        <v>86</v>
      </c>
      <c r="G21" s="85">
        <v>2388</v>
      </c>
      <c r="H21" s="85">
        <v>0</v>
      </c>
      <c r="I21" s="85">
        <v>0</v>
      </c>
      <c r="J21" s="85">
        <v>0</v>
      </c>
      <c r="K21" s="103">
        <f t="shared" si="0"/>
        <v>0</v>
      </c>
    </row>
    <row r="22" spans="2:11" ht="25.5" x14ac:dyDescent="0.2">
      <c r="B22" s="82">
        <v>2143</v>
      </c>
      <c r="C22" s="83">
        <v>5229</v>
      </c>
      <c r="D22" s="83">
        <v>500</v>
      </c>
      <c r="E22" s="83">
        <v>30101000000</v>
      </c>
      <c r="F22" s="84" t="s">
        <v>86</v>
      </c>
      <c r="G22" s="85">
        <v>75</v>
      </c>
      <c r="H22" s="85">
        <v>75</v>
      </c>
      <c r="I22" s="85">
        <v>0</v>
      </c>
      <c r="J22" s="85">
        <v>0</v>
      </c>
      <c r="K22" s="103">
        <f t="shared" si="0"/>
        <v>0</v>
      </c>
    </row>
    <row r="23" spans="2:11" ht="25.5" x14ac:dyDescent="0.2">
      <c r="B23" s="82">
        <v>2143</v>
      </c>
      <c r="C23" s="83">
        <v>5229</v>
      </c>
      <c r="D23" s="83">
        <v>504</v>
      </c>
      <c r="E23" s="83"/>
      <c r="F23" s="84" t="s">
        <v>86</v>
      </c>
      <c r="G23" s="85">
        <v>3500</v>
      </c>
      <c r="H23" s="85">
        <v>5888</v>
      </c>
      <c r="I23" s="85">
        <v>4449</v>
      </c>
      <c r="J23" s="85">
        <v>4449</v>
      </c>
      <c r="K23" s="103">
        <f t="shared" si="0"/>
        <v>127.11428571428571</v>
      </c>
    </row>
    <row r="24" spans="2:11" ht="15" x14ac:dyDescent="0.2">
      <c r="B24" s="82">
        <v>2143</v>
      </c>
      <c r="C24" s="83">
        <v>5321</v>
      </c>
      <c r="D24" s="83">
        <v>500</v>
      </c>
      <c r="E24" s="83">
        <v>30100000000</v>
      </c>
      <c r="F24" s="84" t="s">
        <v>106</v>
      </c>
      <c r="G24" s="85">
        <v>600</v>
      </c>
      <c r="H24" s="85">
        <v>869</v>
      </c>
      <c r="I24" s="85">
        <v>789</v>
      </c>
      <c r="J24" s="173">
        <v>800</v>
      </c>
      <c r="K24" s="103">
        <f t="shared" si="0"/>
        <v>133.33333333333331</v>
      </c>
    </row>
    <row r="25" spans="2:11" ht="15" x14ac:dyDescent="0.2">
      <c r="B25" s="82">
        <v>2143</v>
      </c>
      <c r="C25" s="83">
        <v>5323</v>
      </c>
      <c r="D25" s="83">
        <v>500</v>
      </c>
      <c r="E25" s="83">
        <v>30104000000</v>
      </c>
      <c r="F25" s="84" t="s">
        <v>251</v>
      </c>
      <c r="G25" s="85">
        <v>300</v>
      </c>
      <c r="H25" s="85">
        <v>300</v>
      </c>
      <c r="I25" s="85">
        <v>0</v>
      </c>
      <c r="J25" s="85">
        <v>0</v>
      </c>
      <c r="K25" s="103">
        <f t="shared" si="0"/>
        <v>0</v>
      </c>
    </row>
    <row r="26" spans="2:11" ht="25.5" x14ac:dyDescent="0.2">
      <c r="B26" s="82">
        <v>2143</v>
      </c>
      <c r="C26" s="83">
        <v>5329</v>
      </c>
      <c r="D26" s="83">
        <v>500</v>
      </c>
      <c r="E26" s="83">
        <v>30100008571</v>
      </c>
      <c r="F26" s="84" t="s">
        <v>108</v>
      </c>
      <c r="G26" s="85">
        <v>0</v>
      </c>
      <c r="H26" s="85">
        <v>50</v>
      </c>
      <c r="I26" s="85">
        <v>50</v>
      </c>
      <c r="J26" s="85">
        <v>0</v>
      </c>
      <c r="K26" s="103"/>
    </row>
    <row r="27" spans="2:11" ht="25.5" x14ac:dyDescent="0.2">
      <c r="B27" s="82">
        <v>2143</v>
      </c>
      <c r="C27" s="83">
        <v>5331</v>
      </c>
      <c r="D27" s="83">
        <v>500</v>
      </c>
      <c r="E27" s="83">
        <v>30003001606</v>
      </c>
      <c r="F27" s="84" t="s">
        <v>65</v>
      </c>
      <c r="G27" s="85">
        <v>0</v>
      </c>
      <c r="H27" s="85">
        <v>150</v>
      </c>
      <c r="I27" s="85">
        <v>150</v>
      </c>
      <c r="J27" s="85">
        <v>0</v>
      </c>
      <c r="K27" s="103"/>
    </row>
    <row r="28" spans="2:11" ht="25.5" x14ac:dyDescent="0.2">
      <c r="B28" s="82">
        <v>2143</v>
      </c>
      <c r="C28" s="83">
        <v>5629</v>
      </c>
      <c r="D28" s="83">
        <v>504</v>
      </c>
      <c r="E28" s="83"/>
      <c r="F28" s="84" t="s">
        <v>285</v>
      </c>
      <c r="G28" s="85">
        <v>8925</v>
      </c>
      <c r="H28" s="85">
        <v>8925</v>
      </c>
      <c r="I28" s="85">
        <v>3794</v>
      </c>
      <c r="J28" s="85">
        <v>3795</v>
      </c>
      <c r="K28" s="103">
        <f t="shared" si="0"/>
        <v>42.521008403361343</v>
      </c>
    </row>
    <row r="29" spans="2:11" ht="15" x14ac:dyDescent="0.2">
      <c r="B29" s="82">
        <v>2144</v>
      </c>
      <c r="C29" s="83">
        <v>5169</v>
      </c>
      <c r="D29" s="83">
        <v>0</v>
      </c>
      <c r="E29" s="83">
        <v>20002000000</v>
      </c>
      <c r="F29" s="84" t="s">
        <v>15</v>
      </c>
      <c r="G29" s="85">
        <v>1400</v>
      </c>
      <c r="H29" s="85">
        <f>80250/100</f>
        <v>802.5</v>
      </c>
      <c r="I29" s="85">
        <f>35994/100</f>
        <v>359.94</v>
      </c>
      <c r="J29" s="85">
        <v>1100</v>
      </c>
      <c r="K29" s="103">
        <f t="shared" si="0"/>
        <v>78.571428571428569</v>
      </c>
    </row>
    <row r="30" spans="2:11" ht="25.5" x14ac:dyDescent="0.2">
      <c r="B30" s="82">
        <v>2144</v>
      </c>
      <c r="C30" s="83">
        <v>5221</v>
      </c>
      <c r="D30" s="83">
        <v>16</v>
      </c>
      <c r="E30" s="83">
        <v>30101000000</v>
      </c>
      <c r="F30" s="84" t="s">
        <v>83</v>
      </c>
      <c r="G30" s="85">
        <v>0</v>
      </c>
      <c r="H30" s="85">
        <v>30</v>
      </c>
      <c r="I30" s="85">
        <v>30</v>
      </c>
      <c r="J30" s="85">
        <v>0</v>
      </c>
      <c r="K30" s="103"/>
    </row>
    <row r="31" spans="2:11" ht="25.5" x14ac:dyDescent="0.2">
      <c r="B31" s="82">
        <v>2144</v>
      </c>
      <c r="C31" s="83">
        <v>5222</v>
      </c>
      <c r="D31" s="83">
        <v>16</v>
      </c>
      <c r="E31" s="83">
        <v>30101000000</v>
      </c>
      <c r="F31" s="84" t="s">
        <v>84</v>
      </c>
      <c r="G31" s="85">
        <v>0</v>
      </c>
      <c r="H31" s="85">
        <v>176</v>
      </c>
      <c r="I31" s="85">
        <v>176</v>
      </c>
      <c r="J31" s="85">
        <v>0</v>
      </c>
      <c r="K31" s="103"/>
    </row>
    <row r="32" spans="2:11" ht="15" x14ac:dyDescent="0.2">
      <c r="B32" s="82">
        <v>2144</v>
      </c>
      <c r="C32" s="83">
        <v>5321</v>
      </c>
      <c r="D32" s="83">
        <v>16</v>
      </c>
      <c r="E32" s="83">
        <v>30100000000</v>
      </c>
      <c r="F32" s="84" t="s">
        <v>106</v>
      </c>
      <c r="G32" s="85">
        <v>0</v>
      </c>
      <c r="H32" s="85">
        <v>128</v>
      </c>
      <c r="I32" s="85">
        <v>128</v>
      </c>
      <c r="J32" s="85">
        <v>0</v>
      </c>
      <c r="K32" s="103"/>
    </row>
    <row r="33" spans="2:11" ht="15" x14ac:dyDescent="0.2">
      <c r="B33" s="82">
        <v>2144</v>
      </c>
      <c r="C33" s="83">
        <v>5321</v>
      </c>
      <c r="D33" s="83">
        <v>501</v>
      </c>
      <c r="E33" s="83">
        <v>30100008357</v>
      </c>
      <c r="F33" s="84" t="s">
        <v>106</v>
      </c>
      <c r="G33" s="85">
        <v>350</v>
      </c>
      <c r="H33" s="85">
        <v>350</v>
      </c>
      <c r="I33" s="85">
        <v>350</v>
      </c>
      <c r="J33" s="85">
        <v>350</v>
      </c>
      <c r="K33" s="103">
        <f t="shared" si="0"/>
        <v>100</v>
      </c>
    </row>
    <row r="34" spans="2:11" ht="25.5" x14ac:dyDescent="0.2">
      <c r="B34" s="82">
        <v>2144</v>
      </c>
      <c r="C34" s="83">
        <v>5329</v>
      </c>
      <c r="D34" s="83">
        <v>16</v>
      </c>
      <c r="E34" s="83">
        <v>30100008552</v>
      </c>
      <c r="F34" s="84" t="s">
        <v>108</v>
      </c>
      <c r="G34" s="85">
        <v>0</v>
      </c>
      <c r="H34" s="85">
        <v>30</v>
      </c>
      <c r="I34" s="85">
        <v>30</v>
      </c>
      <c r="J34" s="85">
        <v>0</v>
      </c>
      <c r="K34" s="103"/>
    </row>
    <row r="35" spans="2:11" ht="25.5" x14ac:dyDescent="0.2">
      <c r="B35" s="82">
        <v>2144</v>
      </c>
      <c r="C35" s="83">
        <v>5331</v>
      </c>
      <c r="D35" s="83">
        <v>16</v>
      </c>
      <c r="E35" s="83"/>
      <c r="F35" s="84" t="s">
        <v>65</v>
      </c>
      <c r="G35" s="85">
        <v>0</v>
      </c>
      <c r="H35" s="85">
        <v>124</v>
      </c>
      <c r="I35" s="85">
        <v>124</v>
      </c>
      <c r="J35" s="85">
        <v>0</v>
      </c>
      <c r="K35" s="103"/>
    </row>
    <row r="36" spans="2:11" ht="25.5" x14ac:dyDescent="0.2">
      <c r="B36" s="82">
        <v>2144</v>
      </c>
      <c r="C36" s="83">
        <v>5499</v>
      </c>
      <c r="D36" s="83">
        <v>0</v>
      </c>
      <c r="E36" s="83">
        <v>30102000000</v>
      </c>
      <c r="F36" s="84" t="s">
        <v>16</v>
      </c>
      <c r="G36" s="85">
        <v>50</v>
      </c>
      <c r="H36" s="85">
        <v>50</v>
      </c>
      <c r="I36" s="85">
        <f>2320/100</f>
        <v>23.2</v>
      </c>
      <c r="J36" s="85">
        <v>50</v>
      </c>
      <c r="K36" s="103">
        <f t="shared" si="0"/>
        <v>100</v>
      </c>
    </row>
    <row r="37" spans="2:11" ht="25.5" x14ac:dyDescent="0.2">
      <c r="B37" s="82">
        <v>2144</v>
      </c>
      <c r="C37" s="83">
        <v>5532</v>
      </c>
      <c r="D37" s="83">
        <v>16</v>
      </c>
      <c r="E37" s="83">
        <v>30106000000</v>
      </c>
      <c r="F37" s="84" t="s">
        <v>52</v>
      </c>
      <c r="G37" s="85">
        <v>0</v>
      </c>
      <c r="H37" s="85">
        <v>60</v>
      </c>
      <c r="I37" s="85">
        <v>60</v>
      </c>
      <c r="J37" s="85">
        <v>0</v>
      </c>
      <c r="K37" s="103"/>
    </row>
    <row r="38" spans="2:11" ht="15" x14ac:dyDescent="0.2">
      <c r="B38" s="82">
        <v>3326</v>
      </c>
      <c r="C38" s="83">
        <v>6341</v>
      </c>
      <c r="D38" s="83">
        <v>0</v>
      </c>
      <c r="E38" s="83"/>
      <c r="F38" s="84" t="s">
        <v>34</v>
      </c>
      <c r="G38" s="85">
        <v>0</v>
      </c>
      <c r="H38" s="85">
        <v>0</v>
      </c>
      <c r="I38" s="85">
        <v>0</v>
      </c>
      <c r="J38" s="173">
        <v>1500</v>
      </c>
      <c r="K38" s="103"/>
    </row>
    <row r="39" spans="2:11" ht="15" x14ac:dyDescent="0.2">
      <c r="B39" s="82">
        <v>3341</v>
      </c>
      <c r="C39" s="83">
        <v>5169</v>
      </c>
      <c r="D39" s="83">
        <v>510</v>
      </c>
      <c r="E39" s="83">
        <v>20001000000</v>
      </c>
      <c r="F39" s="84" t="s">
        <v>15</v>
      </c>
      <c r="G39" s="85">
        <v>3900</v>
      </c>
      <c r="H39" s="85">
        <v>3900</v>
      </c>
      <c r="I39" s="85">
        <f>248181/100</f>
        <v>2481.81</v>
      </c>
      <c r="J39" s="85">
        <v>3900</v>
      </c>
      <c r="K39" s="103">
        <f t="shared" si="0"/>
        <v>100</v>
      </c>
    </row>
    <row r="40" spans="2:11" ht="15" x14ac:dyDescent="0.2">
      <c r="B40" s="82">
        <v>3349</v>
      </c>
      <c r="C40" s="83">
        <v>5169</v>
      </c>
      <c r="D40" s="83">
        <v>510</v>
      </c>
      <c r="E40" s="83">
        <v>20001000000</v>
      </c>
      <c r="F40" s="84" t="s">
        <v>15</v>
      </c>
      <c r="G40" s="85">
        <v>0</v>
      </c>
      <c r="H40" s="85">
        <v>6900</v>
      </c>
      <c r="I40" s="85">
        <f>459912/100</f>
        <v>4599.12</v>
      </c>
      <c r="J40" s="85">
        <v>6900</v>
      </c>
      <c r="K40" s="103"/>
    </row>
    <row r="41" spans="2:11" ht="25.5" x14ac:dyDescent="0.2">
      <c r="B41" s="82">
        <v>3349</v>
      </c>
      <c r="C41" s="83">
        <v>5341</v>
      </c>
      <c r="D41" s="83">
        <v>510</v>
      </c>
      <c r="E41" s="83">
        <v>20001000000</v>
      </c>
      <c r="F41" s="84" t="s">
        <v>286</v>
      </c>
      <c r="G41" s="85">
        <v>6900</v>
      </c>
      <c r="H41" s="85">
        <v>0</v>
      </c>
      <c r="I41" s="85">
        <v>0</v>
      </c>
      <c r="J41" s="85">
        <v>0</v>
      </c>
      <c r="K41" s="103">
        <f t="shared" si="0"/>
        <v>0</v>
      </c>
    </row>
    <row r="42" spans="2:11" ht="15" x14ac:dyDescent="0.2">
      <c r="B42" s="82">
        <v>5272</v>
      </c>
      <c r="C42" s="83">
        <v>5168</v>
      </c>
      <c r="D42" s="83">
        <v>0</v>
      </c>
      <c r="E42" s="83">
        <v>20000000000</v>
      </c>
      <c r="F42" s="84" t="s">
        <v>171</v>
      </c>
      <c r="G42" s="85">
        <v>200</v>
      </c>
      <c r="H42" s="85">
        <v>200</v>
      </c>
      <c r="I42" s="85">
        <v>200</v>
      </c>
      <c r="J42" s="85">
        <v>100</v>
      </c>
      <c r="K42" s="103">
        <f t="shared" si="0"/>
        <v>50</v>
      </c>
    </row>
    <row r="43" spans="2:11" ht="15" x14ac:dyDescent="0.2">
      <c r="B43" s="82">
        <v>5273</v>
      </c>
      <c r="C43" s="83">
        <v>5134</v>
      </c>
      <c r="D43" s="83">
        <v>0</v>
      </c>
      <c r="E43" s="83">
        <v>20000000000</v>
      </c>
      <c r="F43" s="84" t="s">
        <v>170</v>
      </c>
      <c r="G43" s="85">
        <v>5</v>
      </c>
      <c r="H43" s="85">
        <v>5</v>
      </c>
      <c r="I43" s="85">
        <v>0</v>
      </c>
      <c r="J43" s="85">
        <v>5</v>
      </c>
      <c r="K43" s="103">
        <f t="shared" si="0"/>
        <v>100</v>
      </c>
    </row>
    <row r="44" spans="2:11" ht="15" x14ac:dyDescent="0.2">
      <c r="B44" s="82">
        <v>5273</v>
      </c>
      <c r="C44" s="83">
        <v>5136</v>
      </c>
      <c r="D44" s="83">
        <v>0</v>
      </c>
      <c r="E44" s="83">
        <v>20000000000</v>
      </c>
      <c r="F44" s="84" t="s">
        <v>40</v>
      </c>
      <c r="G44" s="85">
        <v>2</v>
      </c>
      <c r="H44" s="85">
        <v>2</v>
      </c>
      <c r="I44" s="85">
        <f>128/100</f>
        <v>1.28</v>
      </c>
      <c r="J44" s="85">
        <v>2</v>
      </c>
      <c r="K44" s="103">
        <f t="shared" si="0"/>
        <v>100</v>
      </c>
    </row>
    <row r="45" spans="2:11" ht="15" x14ac:dyDescent="0.2">
      <c r="B45" s="82">
        <v>5273</v>
      </c>
      <c r="C45" s="83">
        <v>5137</v>
      </c>
      <c r="D45" s="83">
        <v>0</v>
      </c>
      <c r="E45" s="83">
        <v>20000000000</v>
      </c>
      <c r="F45" s="84" t="s">
        <v>49</v>
      </c>
      <c r="G45" s="85">
        <v>5</v>
      </c>
      <c r="H45" s="85">
        <v>5</v>
      </c>
      <c r="I45" s="85">
        <f>310/100</f>
        <v>3.1</v>
      </c>
      <c r="J45" s="85">
        <v>5</v>
      </c>
      <c r="K45" s="103">
        <f t="shared" si="0"/>
        <v>100</v>
      </c>
    </row>
    <row r="46" spans="2:11" ht="15" x14ac:dyDescent="0.2">
      <c r="B46" s="82">
        <v>5273</v>
      </c>
      <c r="C46" s="83">
        <v>5139</v>
      </c>
      <c r="D46" s="83">
        <v>0</v>
      </c>
      <c r="E46" s="83">
        <v>20001000000</v>
      </c>
      <c r="F46" s="84" t="s">
        <v>18</v>
      </c>
      <c r="G46" s="85">
        <v>310</v>
      </c>
      <c r="H46" s="85">
        <v>310</v>
      </c>
      <c r="I46" s="85">
        <f>25363/100</f>
        <v>253.63</v>
      </c>
      <c r="J46" s="85">
        <v>210</v>
      </c>
      <c r="K46" s="103">
        <f t="shared" si="0"/>
        <v>67.741935483870961</v>
      </c>
    </row>
    <row r="47" spans="2:11" ht="15" x14ac:dyDescent="0.2">
      <c r="B47" s="82">
        <v>5273</v>
      </c>
      <c r="C47" s="83">
        <v>5164</v>
      </c>
      <c r="D47" s="83">
        <v>0</v>
      </c>
      <c r="E47" s="83">
        <v>20000000000</v>
      </c>
      <c r="F47" s="84" t="s">
        <v>20</v>
      </c>
      <c r="G47" s="85">
        <v>75</v>
      </c>
      <c r="H47" s="85">
        <v>75</v>
      </c>
      <c r="I47" s="85">
        <v>7</v>
      </c>
      <c r="J47" s="85">
        <v>30</v>
      </c>
      <c r="K47" s="103">
        <f t="shared" si="0"/>
        <v>40</v>
      </c>
    </row>
    <row r="48" spans="2:11" ht="15" x14ac:dyDescent="0.2">
      <c r="B48" s="82">
        <v>5273</v>
      </c>
      <c r="C48" s="83">
        <v>5169</v>
      </c>
      <c r="D48" s="83">
        <v>0</v>
      </c>
      <c r="E48" s="83">
        <v>20000000000</v>
      </c>
      <c r="F48" s="84" t="s">
        <v>15</v>
      </c>
      <c r="G48" s="85">
        <v>350</v>
      </c>
      <c r="H48" s="85">
        <v>350</v>
      </c>
      <c r="I48" s="85">
        <f>16143/100</f>
        <v>161.43</v>
      </c>
      <c r="J48" s="85">
        <v>250</v>
      </c>
      <c r="K48" s="103">
        <f t="shared" si="0"/>
        <v>71.428571428571431</v>
      </c>
    </row>
    <row r="49" spans="2:11" ht="15" x14ac:dyDescent="0.2">
      <c r="B49" s="82">
        <v>5273</v>
      </c>
      <c r="C49" s="83">
        <v>5169</v>
      </c>
      <c r="D49" s="83">
        <v>9</v>
      </c>
      <c r="E49" s="83">
        <v>20000000000</v>
      </c>
      <c r="F49" s="84" t="s">
        <v>15</v>
      </c>
      <c r="G49" s="85">
        <v>0</v>
      </c>
      <c r="H49" s="85">
        <v>80</v>
      </c>
      <c r="I49" s="85">
        <v>0</v>
      </c>
      <c r="J49" s="85">
        <v>0</v>
      </c>
      <c r="K49" s="103"/>
    </row>
    <row r="50" spans="2:11" ht="15" x14ac:dyDescent="0.2">
      <c r="B50" s="82">
        <v>5273</v>
      </c>
      <c r="C50" s="83">
        <v>5175</v>
      </c>
      <c r="D50" s="83">
        <v>0</v>
      </c>
      <c r="E50" s="83">
        <v>20000000000</v>
      </c>
      <c r="F50" s="84" t="s">
        <v>21</v>
      </c>
      <c r="G50" s="85">
        <v>175</v>
      </c>
      <c r="H50" s="85">
        <v>175</v>
      </c>
      <c r="I50" s="85">
        <f>13440/100</f>
        <v>134.4</v>
      </c>
      <c r="J50" s="85">
        <v>170</v>
      </c>
      <c r="K50" s="103">
        <f t="shared" si="0"/>
        <v>97.142857142857139</v>
      </c>
    </row>
    <row r="51" spans="2:11" ht="26.25" thickBot="1" x14ac:dyDescent="0.25">
      <c r="B51" s="92">
        <v>5273</v>
      </c>
      <c r="C51" s="93">
        <v>5222</v>
      </c>
      <c r="D51" s="93">
        <v>16</v>
      </c>
      <c r="E51" s="93">
        <v>30101000000</v>
      </c>
      <c r="F51" s="94" t="s">
        <v>84</v>
      </c>
      <c r="G51" s="95">
        <v>200</v>
      </c>
      <c r="H51" s="95">
        <v>200</v>
      </c>
      <c r="I51" s="95">
        <v>200</v>
      </c>
      <c r="J51" s="95">
        <v>200</v>
      </c>
      <c r="K51" s="111">
        <f t="shared" si="0"/>
        <v>100</v>
      </c>
    </row>
    <row r="52" spans="2:11" x14ac:dyDescent="0.2">
      <c r="B52" s="5"/>
      <c r="C52" s="5"/>
      <c r="D52" s="5"/>
      <c r="E52" s="5"/>
      <c r="F52" s="5"/>
      <c r="G52" s="5"/>
      <c r="H52" s="5"/>
      <c r="I52" s="5"/>
      <c r="J52" s="5"/>
    </row>
    <row r="53" spans="2:11" ht="13.5" thickBot="1" x14ac:dyDescent="0.25">
      <c r="B53" s="5"/>
      <c r="C53" s="5"/>
      <c r="D53" s="5"/>
      <c r="E53" s="5"/>
      <c r="F53" s="5"/>
      <c r="G53" s="5"/>
      <c r="H53" s="5"/>
      <c r="I53" s="5"/>
      <c r="J53" s="5"/>
      <c r="K53" s="99" t="s">
        <v>3</v>
      </c>
    </row>
    <row r="54" spans="2:11" ht="35.1" customHeight="1" x14ac:dyDescent="0.2">
      <c r="B54" s="7" t="s">
        <v>4</v>
      </c>
      <c r="C54" s="8" t="s">
        <v>5</v>
      </c>
      <c r="D54" s="8" t="s">
        <v>6</v>
      </c>
      <c r="E54" s="8" t="s">
        <v>7</v>
      </c>
      <c r="F54" s="6" t="s">
        <v>8</v>
      </c>
      <c r="G54" s="6" t="s">
        <v>9</v>
      </c>
      <c r="H54" s="6" t="s">
        <v>10</v>
      </c>
      <c r="I54" s="6" t="s">
        <v>11</v>
      </c>
      <c r="J54" s="6" t="s">
        <v>12</v>
      </c>
      <c r="K54" s="100" t="s">
        <v>13</v>
      </c>
    </row>
    <row r="55" spans="2:11" ht="13.5" thickBot="1" x14ac:dyDescent="0.25">
      <c r="B55" s="10">
        <v>1</v>
      </c>
      <c r="C55" s="11">
        <v>2</v>
      </c>
      <c r="D55" s="11">
        <v>3</v>
      </c>
      <c r="E55" s="11">
        <v>4</v>
      </c>
      <c r="F55" s="12">
        <v>5</v>
      </c>
      <c r="G55" s="12">
        <v>6</v>
      </c>
      <c r="H55" s="12">
        <v>7</v>
      </c>
      <c r="I55" s="12">
        <v>8</v>
      </c>
      <c r="J55" s="12">
        <v>9</v>
      </c>
      <c r="K55" s="101" t="s">
        <v>14</v>
      </c>
    </row>
    <row r="56" spans="2:11" ht="15" x14ac:dyDescent="0.2">
      <c r="B56" s="82"/>
      <c r="C56" s="83"/>
      <c r="D56" s="83"/>
      <c r="E56" s="83"/>
      <c r="F56" s="276" t="s">
        <v>562</v>
      </c>
      <c r="G56" s="277"/>
      <c r="H56" s="277"/>
      <c r="I56" s="278"/>
      <c r="J56" s="279"/>
      <c r="K56" s="103"/>
    </row>
    <row r="57" spans="2:11" ht="15" x14ac:dyDescent="0.2">
      <c r="B57" s="82">
        <v>5273</v>
      </c>
      <c r="C57" s="83">
        <v>5901</v>
      </c>
      <c r="D57" s="83">
        <v>9</v>
      </c>
      <c r="E57" s="83">
        <v>20000000000</v>
      </c>
      <c r="F57" s="84" t="s">
        <v>17</v>
      </c>
      <c r="G57" s="85">
        <v>7500</v>
      </c>
      <c r="H57" s="85">
        <v>0</v>
      </c>
      <c r="I57" s="85">
        <v>0</v>
      </c>
      <c r="J57" s="173">
        <v>6000</v>
      </c>
      <c r="K57" s="103">
        <f t="shared" si="0"/>
        <v>80</v>
      </c>
    </row>
    <row r="58" spans="2:11" ht="15" x14ac:dyDescent="0.2">
      <c r="B58" s="82">
        <v>5273</v>
      </c>
      <c r="C58" s="83">
        <v>5901</v>
      </c>
      <c r="D58" s="83">
        <v>24</v>
      </c>
      <c r="E58" s="83">
        <v>20000000000</v>
      </c>
      <c r="F58" s="84" t="s">
        <v>17</v>
      </c>
      <c r="G58" s="85">
        <v>0</v>
      </c>
      <c r="H58" s="85">
        <f>761241/100</f>
        <v>7612.41</v>
      </c>
      <c r="I58" s="85">
        <v>0</v>
      </c>
      <c r="J58" s="85">
        <v>0</v>
      </c>
      <c r="K58" s="103"/>
    </row>
    <row r="59" spans="2:11" ht="15" x14ac:dyDescent="0.2">
      <c r="B59" s="82">
        <v>5511</v>
      </c>
      <c r="C59" s="83">
        <v>5311</v>
      </c>
      <c r="D59" s="83">
        <v>9</v>
      </c>
      <c r="E59" s="83">
        <v>30103003012</v>
      </c>
      <c r="F59" s="84" t="s">
        <v>288</v>
      </c>
      <c r="G59" s="85">
        <v>0</v>
      </c>
      <c r="H59" s="85">
        <v>1175</v>
      </c>
      <c r="I59" s="85">
        <v>1175</v>
      </c>
      <c r="J59" s="85">
        <v>0</v>
      </c>
      <c r="K59" s="103"/>
    </row>
    <row r="60" spans="2:11" ht="15" x14ac:dyDescent="0.2">
      <c r="B60" s="82">
        <v>5511</v>
      </c>
      <c r="C60" s="83">
        <v>6123</v>
      </c>
      <c r="D60" s="83">
        <v>9</v>
      </c>
      <c r="E60" s="83">
        <v>60008000000</v>
      </c>
      <c r="F60" s="84" t="s">
        <v>255</v>
      </c>
      <c r="G60" s="85">
        <v>0</v>
      </c>
      <c r="H60" s="85">
        <f>295319/100</f>
        <v>2953.19</v>
      </c>
      <c r="I60" s="85">
        <f>295319/100</f>
        <v>2953.19</v>
      </c>
      <c r="J60" s="85">
        <v>0</v>
      </c>
      <c r="K60" s="103"/>
    </row>
    <row r="61" spans="2:11" ht="25.5" x14ac:dyDescent="0.2">
      <c r="B61" s="82">
        <v>5512</v>
      </c>
      <c r="C61" s="83">
        <v>5222</v>
      </c>
      <c r="D61" s="83">
        <v>9</v>
      </c>
      <c r="E61" s="83">
        <v>30101003013</v>
      </c>
      <c r="F61" s="84" t="s">
        <v>84</v>
      </c>
      <c r="G61" s="85">
        <v>0</v>
      </c>
      <c r="H61" s="85">
        <v>600</v>
      </c>
      <c r="I61" s="85">
        <v>600</v>
      </c>
      <c r="J61" s="85">
        <v>0</v>
      </c>
      <c r="K61" s="103"/>
    </row>
    <row r="62" spans="2:11" ht="25.5" x14ac:dyDescent="0.2">
      <c r="B62" s="82">
        <v>5599</v>
      </c>
      <c r="C62" s="83">
        <v>5221</v>
      </c>
      <c r="D62" s="83">
        <v>9</v>
      </c>
      <c r="E62" s="83">
        <v>30101000000</v>
      </c>
      <c r="F62" s="84" t="s">
        <v>83</v>
      </c>
      <c r="G62" s="85">
        <v>0</v>
      </c>
      <c r="H62" s="85">
        <v>150</v>
      </c>
      <c r="I62" s="85">
        <v>150</v>
      </c>
      <c r="J62" s="85">
        <v>0</v>
      </c>
      <c r="K62" s="103"/>
    </row>
    <row r="63" spans="2:11" ht="14.25" x14ac:dyDescent="0.2">
      <c r="B63" s="82"/>
      <c r="C63" s="83"/>
      <c r="D63" s="83"/>
      <c r="E63" s="83"/>
      <c r="F63" s="84"/>
      <c r="G63" s="87">
        <f>SUM(G57:G62)</f>
        <v>7500</v>
      </c>
      <c r="H63" s="87">
        <f>SUM(H57:H62)</f>
        <v>12490.6</v>
      </c>
      <c r="I63" s="87">
        <f>SUM(I57:I62)</f>
        <v>4878.1900000000005</v>
      </c>
      <c r="J63" s="87">
        <f>SUM(J57:J62)</f>
        <v>6000</v>
      </c>
      <c r="K63" s="104">
        <f>J63/G63*100</f>
        <v>80</v>
      </c>
    </row>
    <row r="64" spans="2:11" ht="15" x14ac:dyDescent="0.2">
      <c r="B64" s="82">
        <v>5273</v>
      </c>
      <c r="C64" s="83">
        <v>6441</v>
      </c>
      <c r="D64" s="83">
        <v>0</v>
      </c>
      <c r="E64" s="83">
        <v>72000008020</v>
      </c>
      <c r="F64" s="84" t="s">
        <v>287</v>
      </c>
      <c r="G64" s="85">
        <v>6200</v>
      </c>
      <c r="H64" s="85">
        <v>6200</v>
      </c>
      <c r="I64" s="85">
        <v>6200</v>
      </c>
      <c r="J64" s="85">
        <v>0</v>
      </c>
      <c r="K64" s="103">
        <f t="shared" si="0"/>
        <v>0</v>
      </c>
    </row>
    <row r="65" spans="2:11" ht="15" x14ac:dyDescent="0.2">
      <c r="B65" s="82"/>
      <c r="C65" s="83"/>
      <c r="D65" s="83"/>
      <c r="E65" s="83"/>
      <c r="F65" s="276" t="s">
        <v>563</v>
      </c>
      <c r="G65" s="277"/>
      <c r="H65" s="277"/>
      <c r="I65" s="278"/>
      <c r="J65" s="279"/>
      <c r="K65" s="103"/>
    </row>
    <row r="66" spans="2:11" ht="15" x14ac:dyDescent="0.2">
      <c r="B66" s="82">
        <v>5512</v>
      </c>
      <c r="C66" s="83">
        <v>5321</v>
      </c>
      <c r="D66" s="83">
        <v>8</v>
      </c>
      <c r="E66" s="83">
        <v>30100000000</v>
      </c>
      <c r="F66" s="84" t="s">
        <v>106</v>
      </c>
      <c r="G66" s="85">
        <v>6000</v>
      </c>
      <c r="H66" s="85">
        <v>3059.5</v>
      </c>
      <c r="I66" s="85">
        <v>2973.5</v>
      </c>
      <c r="J66" s="85">
        <v>6000</v>
      </c>
      <c r="K66" s="103">
        <f t="shared" si="0"/>
        <v>100</v>
      </c>
    </row>
    <row r="67" spans="2:11" ht="15" x14ac:dyDescent="0.2">
      <c r="B67" s="82">
        <v>5512</v>
      </c>
      <c r="C67" s="83">
        <v>6341</v>
      </c>
      <c r="D67" s="83">
        <v>8</v>
      </c>
      <c r="E67" s="83">
        <v>30100000000</v>
      </c>
      <c r="F67" s="84" t="s">
        <v>34</v>
      </c>
      <c r="G67" s="85"/>
      <c r="H67" s="85">
        <v>3240</v>
      </c>
      <c r="I67" s="85">
        <v>3116</v>
      </c>
      <c r="J67" s="85">
        <v>0</v>
      </c>
      <c r="K67" s="103"/>
    </row>
    <row r="68" spans="2:11" ht="14.25" x14ac:dyDescent="0.2">
      <c r="B68" s="82"/>
      <c r="C68" s="83"/>
      <c r="D68" s="83"/>
      <c r="E68" s="83"/>
      <c r="F68" s="84"/>
      <c r="G68" s="87">
        <f>SUM(G66:G67)</f>
        <v>6000</v>
      </c>
      <c r="H68" s="87">
        <f>SUM(H66:H67)</f>
        <v>6299.5</v>
      </c>
      <c r="I68" s="87">
        <f>SUM(I66:I67)</f>
        <v>6089.5</v>
      </c>
      <c r="J68" s="87">
        <f>SUM(J66:J67)</f>
        <v>6000</v>
      </c>
      <c r="K68" s="104">
        <f t="shared" si="0"/>
        <v>100</v>
      </c>
    </row>
    <row r="69" spans="2:11" ht="15" x14ac:dyDescent="0.2">
      <c r="B69" s="82">
        <v>5529</v>
      </c>
      <c r="C69" s="83">
        <v>5169</v>
      </c>
      <c r="D69" s="83">
        <v>0</v>
      </c>
      <c r="E69" s="83">
        <v>20000000000</v>
      </c>
      <c r="F69" s="84" t="s">
        <v>15</v>
      </c>
      <c r="G69" s="85">
        <v>100</v>
      </c>
      <c r="H69" s="85">
        <v>100</v>
      </c>
      <c r="I69" s="85">
        <v>0</v>
      </c>
      <c r="J69" s="85">
        <v>100</v>
      </c>
      <c r="K69" s="103">
        <f t="shared" si="0"/>
        <v>100</v>
      </c>
    </row>
    <row r="70" spans="2:11" ht="15" x14ac:dyDescent="0.2">
      <c r="B70" s="82">
        <v>6172</v>
      </c>
      <c r="C70" s="83">
        <v>5139</v>
      </c>
      <c r="D70" s="83">
        <v>506</v>
      </c>
      <c r="E70" s="83">
        <v>20001000000</v>
      </c>
      <c r="F70" s="84" t="s">
        <v>18</v>
      </c>
      <c r="G70" s="85">
        <v>1000</v>
      </c>
      <c r="H70" s="85">
        <v>1000</v>
      </c>
      <c r="I70" s="85">
        <f>41977/100</f>
        <v>419.77</v>
      </c>
      <c r="J70" s="85">
        <v>0</v>
      </c>
      <c r="K70" s="103">
        <f t="shared" si="0"/>
        <v>0</v>
      </c>
    </row>
    <row r="71" spans="2:11" ht="15" x14ac:dyDescent="0.2">
      <c r="B71" s="82">
        <v>6172</v>
      </c>
      <c r="C71" s="83">
        <v>5139</v>
      </c>
      <c r="D71" s="83">
        <v>507</v>
      </c>
      <c r="E71" s="83">
        <v>20001000000</v>
      </c>
      <c r="F71" s="84" t="s">
        <v>18</v>
      </c>
      <c r="G71" s="85">
        <v>1500</v>
      </c>
      <c r="H71" s="85">
        <v>1500</v>
      </c>
      <c r="I71" s="85">
        <f>113615/100</f>
        <v>1136.1500000000001</v>
      </c>
      <c r="J71" s="85">
        <v>0</v>
      </c>
      <c r="K71" s="103">
        <f t="shared" si="0"/>
        <v>0</v>
      </c>
    </row>
    <row r="72" spans="2:11" ht="15" x14ac:dyDescent="0.2">
      <c r="B72" s="82">
        <v>6172</v>
      </c>
      <c r="C72" s="83">
        <v>5139</v>
      </c>
      <c r="D72" s="83">
        <v>510</v>
      </c>
      <c r="E72" s="83">
        <v>20001000000</v>
      </c>
      <c r="F72" s="84" t="s">
        <v>18</v>
      </c>
      <c r="G72" s="85">
        <v>0</v>
      </c>
      <c r="H72" s="85">
        <v>0</v>
      </c>
      <c r="I72" s="85">
        <v>0</v>
      </c>
      <c r="J72" s="85">
        <v>2300</v>
      </c>
      <c r="K72" s="103"/>
    </row>
    <row r="73" spans="2:11" ht="15" x14ac:dyDescent="0.2">
      <c r="B73" s="82">
        <v>6172</v>
      </c>
      <c r="C73" s="83">
        <v>5168</v>
      </c>
      <c r="D73" s="83">
        <v>510</v>
      </c>
      <c r="E73" s="83">
        <v>20000000000</v>
      </c>
      <c r="F73" s="84" t="s">
        <v>171</v>
      </c>
      <c r="G73" s="85">
        <v>100</v>
      </c>
      <c r="H73" s="85">
        <v>100</v>
      </c>
      <c r="I73" s="85">
        <f>4313/100</f>
        <v>43.13</v>
      </c>
      <c r="J73" s="85">
        <v>100</v>
      </c>
      <c r="K73" s="103">
        <f t="shared" si="0"/>
        <v>100</v>
      </c>
    </row>
    <row r="74" spans="2:11" ht="15" x14ac:dyDescent="0.2">
      <c r="B74" s="82">
        <v>6172</v>
      </c>
      <c r="C74" s="83">
        <v>5169</v>
      </c>
      <c r="D74" s="83">
        <v>0</v>
      </c>
      <c r="E74" s="83">
        <v>20000000000</v>
      </c>
      <c r="F74" s="84" t="s">
        <v>15</v>
      </c>
      <c r="G74" s="85">
        <v>200</v>
      </c>
      <c r="H74" s="85">
        <v>200</v>
      </c>
      <c r="I74" s="85">
        <f>783/100</f>
        <v>7.83</v>
      </c>
      <c r="J74" s="85">
        <v>100</v>
      </c>
      <c r="K74" s="103">
        <f t="shared" si="0"/>
        <v>50</v>
      </c>
    </row>
    <row r="75" spans="2:11" ht="15" x14ac:dyDescent="0.2">
      <c r="B75" s="82">
        <v>6172</v>
      </c>
      <c r="C75" s="83">
        <v>5169</v>
      </c>
      <c r="D75" s="83">
        <v>510</v>
      </c>
      <c r="E75" s="83">
        <v>20001000000</v>
      </c>
      <c r="F75" s="84" t="s">
        <v>15</v>
      </c>
      <c r="G75" s="85">
        <v>1500</v>
      </c>
      <c r="H75" s="85">
        <v>1500</v>
      </c>
      <c r="I75" s="85">
        <f>13818/100</f>
        <v>138.18</v>
      </c>
      <c r="J75" s="85">
        <v>1200</v>
      </c>
      <c r="K75" s="103">
        <f t="shared" si="0"/>
        <v>80</v>
      </c>
    </row>
    <row r="76" spans="2:11" ht="15" x14ac:dyDescent="0.2">
      <c r="B76" s="82">
        <v>6172</v>
      </c>
      <c r="C76" s="83">
        <v>5175</v>
      </c>
      <c r="D76" s="83">
        <v>510</v>
      </c>
      <c r="E76" s="83">
        <v>20000000000</v>
      </c>
      <c r="F76" s="84" t="s">
        <v>21</v>
      </c>
      <c r="G76" s="85">
        <v>100</v>
      </c>
      <c r="H76" s="85">
        <v>100</v>
      </c>
      <c r="I76" s="85">
        <f>730/100</f>
        <v>7.3</v>
      </c>
      <c r="J76" s="85">
        <v>100</v>
      </c>
      <c r="K76" s="103">
        <f t="shared" si="0"/>
        <v>100</v>
      </c>
    </row>
    <row r="77" spans="2:11" ht="15" x14ac:dyDescent="0.2">
      <c r="B77" s="82">
        <v>6172</v>
      </c>
      <c r="C77" s="83">
        <v>5901</v>
      </c>
      <c r="D77" s="83">
        <v>0</v>
      </c>
      <c r="E77" s="83">
        <v>20000000000</v>
      </c>
      <c r="F77" s="84" t="s">
        <v>17</v>
      </c>
      <c r="G77" s="85">
        <v>35</v>
      </c>
      <c r="H77" s="85">
        <v>35</v>
      </c>
      <c r="I77" s="85">
        <v>0</v>
      </c>
      <c r="J77" s="85">
        <v>0</v>
      </c>
      <c r="K77" s="103">
        <f>J77/G77*100</f>
        <v>0</v>
      </c>
    </row>
    <row r="78" spans="2:11" ht="15.75" thickBot="1" x14ac:dyDescent="0.25">
      <c r="B78" s="92">
        <v>6409</v>
      </c>
      <c r="C78" s="93">
        <v>5169</v>
      </c>
      <c r="D78" s="93">
        <v>0</v>
      </c>
      <c r="E78" s="93">
        <v>20001000000</v>
      </c>
      <c r="F78" s="94" t="s">
        <v>15</v>
      </c>
      <c r="G78" s="95">
        <v>5400</v>
      </c>
      <c r="H78" s="95">
        <v>5400</v>
      </c>
      <c r="I78" s="95">
        <v>4050</v>
      </c>
      <c r="J78" s="95">
        <v>5400</v>
      </c>
      <c r="K78" s="103">
        <f>J78/G78*100</f>
        <v>100</v>
      </c>
    </row>
    <row r="79" spans="2:11" ht="15.75" thickBot="1" x14ac:dyDescent="0.25">
      <c r="B79" s="18" t="s">
        <v>25</v>
      </c>
      <c r="C79" s="19"/>
      <c r="D79" s="19"/>
      <c r="E79" s="19"/>
      <c r="F79" s="20"/>
      <c r="G79" s="21">
        <f>SUM(G69:G78,G68,G63,G9:G51,G64)</f>
        <v>67241</v>
      </c>
      <c r="H79" s="21">
        <f>SUM(H69:H78,H68,H63,H9:H51,H64)</f>
        <v>72492.94</v>
      </c>
      <c r="I79" s="21">
        <f>SUM(I69:I78,I68,I63,I9:I51,I64)</f>
        <v>45309.69</v>
      </c>
      <c r="J79" s="21">
        <f>SUM(J69:J78,J68,J63,J9:J51,J64)</f>
        <v>51891</v>
      </c>
      <c r="K79" s="106">
        <f>J79/G79*100</f>
        <v>77.171666096577979</v>
      </c>
    </row>
    <row r="80" spans="2:11" x14ac:dyDescent="0.2">
      <c r="F80" s="1"/>
      <c r="G80" s="1"/>
      <c r="H80" s="1"/>
      <c r="I80" s="1"/>
      <c r="J80" s="1"/>
    </row>
    <row r="81" spans="2:11" x14ac:dyDescent="0.2">
      <c r="F81" s="1"/>
      <c r="G81" s="1"/>
      <c r="H81" s="1"/>
      <c r="I81" s="1"/>
      <c r="J81" s="1"/>
    </row>
    <row r="82" spans="2:11" s="123" customFormat="1" ht="14.25" x14ac:dyDescent="0.2">
      <c r="F82" s="185"/>
      <c r="G82" s="185"/>
      <c r="H82" s="185"/>
      <c r="I82" s="185"/>
      <c r="J82" s="185"/>
      <c r="K82" s="186"/>
    </row>
    <row r="83" spans="2:11" s="123" customFormat="1" ht="14.25" x14ac:dyDescent="0.2">
      <c r="F83" s="185"/>
      <c r="G83" s="185"/>
      <c r="H83" s="185"/>
      <c r="I83" s="185"/>
      <c r="J83" s="185"/>
      <c r="K83" s="186"/>
    </row>
    <row r="84" spans="2:11" s="123" customFormat="1" ht="15.75" thickBot="1" x14ac:dyDescent="0.25">
      <c r="B84" s="22" t="s">
        <v>56</v>
      </c>
      <c r="C84" s="22"/>
      <c r="D84" s="22"/>
      <c r="E84" s="22"/>
      <c r="F84" s="23"/>
      <c r="G84" s="23"/>
      <c r="H84" s="24"/>
      <c r="I84" s="24"/>
      <c r="J84" s="24">
        <v>300</v>
      </c>
      <c r="K84" s="108" t="s">
        <v>27</v>
      </c>
    </row>
    <row r="85" spans="2:11" s="123" customFormat="1" ht="78" customHeight="1" thickTop="1" x14ac:dyDescent="0.2">
      <c r="B85" s="265" t="s">
        <v>622</v>
      </c>
      <c r="C85" s="266"/>
      <c r="D85" s="266"/>
      <c r="E85" s="266"/>
      <c r="F85" s="266"/>
      <c r="G85" s="266"/>
      <c r="H85" s="266"/>
      <c r="I85" s="266"/>
      <c r="J85" s="266"/>
      <c r="K85" s="266"/>
    </row>
    <row r="86" spans="2:11" s="123" customFormat="1" ht="15.75" thickBot="1" x14ac:dyDescent="0.25">
      <c r="B86" s="22" t="s">
        <v>57</v>
      </c>
      <c r="C86" s="22"/>
      <c r="D86" s="22"/>
      <c r="E86" s="22"/>
      <c r="F86" s="23"/>
      <c r="G86" s="23"/>
      <c r="H86" s="24"/>
      <c r="I86" s="24"/>
      <c r="J86" s="24">
        <v>475</v>
      </c>
      <c r="K86" s="108" t="s">
        <v>27</v>
      </c>
    </row>
    <row r="87" spans="2:11" s="123" customFormat="1" ht="214.5" customHeight="1" thickTop="1" x14ac:dyDescent="0.2">
      <c r="B87" s="265" t="s">
        <v>474</v>
      </c>
      <c r="C87" s="266"/>
      <c r="D87" s="266"/>
      <c r="E87" s="266"/>
      <c r="F87" s="266"/>
      <c r="G87" s="266"/>
      <c r="H87" s="266"/>
      <c r="I87" s="266"/>
      <c r="J87" s="266"/>
      <c r="K87" s="266"/>
    </row>
    <row r="88" spans="2:11" s="123" customFormat="1" ht="15.75" thickBot="1" x14ac:dyDescent="0.25">
      <c r="B88" s="22" t="s">
        <v>58</v>
      </c>
      <c r="C88" s="22"/>
      <c r="D88" s="22"/>
      <c r="E88" s="22"/>
      <c r="F88" s="23"/>
      <c r="G88" s="23"/>
      <c r="H88" s="24"/>
      <c r="I88" s="24"/>
      <c r="J88" s="24">
        <v>5235</v>
      </c>
      <c r="K88" s="108" t="s">
        <v>27</v>
      </c>
    </row>
    <row r="89" spans="2:11" s="123" customFormat="1" ht="63" customHeight="1" thickTop="1" x14ac:dyDescent="0.2">
      <c r="B89" s="281" t="s">
        <v>664</v>
      </c>
      <c r="C89" s="282"/>
      <c r="D89" s="282"/>
      <c r="E89" s="282"/>
      <c r="F89" s="282"/>
      <c r="G89" s="282"/>
      <c r="H89" s="282"/>
      <c r="I89" s="282"/>
      <c r="J89" s="282"/>
      <c r="K89" s="282"/>
    </row>
    <row r="90" spans="2:11" s="123" customFormat="1" ht="16.5" customHeight="1" x14ac:dyDescent="0.2">
      <c r="B90" s="204"/>
      <c r="C90" s="205"/>
      <c r="D90" s="205"/>
      <c r="E90" s="205"/>
      <c r="F90" s="205"/>
      <c r="G90" s="205"/>
      <c r="H90" s="205"/>
      <c r="I90" s="205"/>
      <c r="J90" s="205"/>
      <c r="K90" s="205"/>
    </row>
    <row r="91" spans="2:11" s="123" customFormat="1" ht="16.5" customHeight="1" x14ac:dyDescent="0.2">
      <c r="B91" s="204"/>
      <c r="C91" s="205"/>
      <c r="D91" s="205"/>
      <c r="E91" s="205"/>
      <c r="F91" s="205"/>
      <c r="G91" s="205"/>
      <c r="H91" s="205"/>
      <c r="I91" s="205"/>
      <c r="J91" s="205"/>
      <c r="K91" s="205"/>
    </row>
    <row r="92" spans="2:11" s="123" customFormat="1" ht="16.5" customHeight="1" x14ac:dyDescent="0.2">
      <c r="B92" s="204"/>
      <c r="C92" s="205"/>
      <c r="D92" s="205"/>
      <c r="E92" s="205"/>
      <c r="F92" s="205"/>
      <c r="G92" s="205"/>
      <c r="H92" s="205"/>
      <c r="I92" s="205"/>
      <c r="J92" s="205"/>
      <c r="K92" s="205"/>
    </row>
    <row r="93" spans="2:11" s="123" customFormat="1" ht="16.5" customHeight="1" x14ac:dyDescent="0.2">
      <c r="B93" s="204"/>
      <c r="C93" s="205"/>
      <c r="D93" s="205"/>
      <c r="E93" s="205"/>
      <c r="F93" s="205"/>
      <c r="G93" s="205"/>
      <c r="H93" s="205"/>
      <c r="I93" s="205"/>
      <c r="J93" s="205"/>
      <c r="K93" s="205"/>
    </row>
    <row r="94" spans="2:11" s="197" customFormat="1" ht="16.5" customHeight="1" x14ac:dyDescent="0.2">
      <c r="B94" s="204"/>
      <c r="C94" s="205"/>
      <c r="D94" s="205"/>
      <c r="E94" s="205"/>
      <c r="F94" s="205"/>
      <c r="G94" s="205"/>
      <c r="H94" s="205"/>
      <c r="I94" s="205"/>
      <c r="J94" s="205"/>
      <c r="K94" s="205"/>
    </row>
    <row r="95" spans="2:11" s="123" customFormat="1" ht="273" customHeight="1" x14ac:dyDescent="0.2">
      <c r="B95" s="275" t="s">
        <v>670</v>
      </c>
      <c r="C95" s="275"/>
      <c r="D95" s="275"/>
      <c r="E95" s="275"/>
      <c r="F95" s="275"/>
      <c r="G95" s="275"/>
      <c r="H95" s="275"/>
      <c r="I95" s="275"/>
      <c r="J95" s="275"/>
      <c r="K95" s="275"/>
    </row>
    <row r="96" spans="2:11" s="123" customFormat="1" ht="297.75" customHeight="1" x14ac:dyDescent="0.2">
      <c r="B96" s="275"/>
      <c r="C96" s="275"/>
      <c r="D96" s="275"/>
      <c r="E96" s="275"/>
      <c r="F96" s="275"/>
      <c r="G96" s="275"/>
      <c r="H96" s="275"/>
      <c r="I96" s="275"/>
      <c r="J96" s="275"/>
      <c r="K96" s="275"/>
    </row>
    <row r="97" spans="2:11" s="123" customFormat="1" ht="94.5" customHeight="1" x14ac:dyDescent="0.2">
      <c r="B97" s="275" t="s">
        <v>639</v>
      </c>
      <c r="C97" s="280"/>
      <c r="D97" s="280"/>
      <c r="E97" s="280"/>
      <c r="F97" s="280"/>
      <c r="G97" s="280"/>
      <c r="H97" s="280"/>
      <c r="I97" s="280"/>
      <c r="J97" s="280"/>
      <c r="K97" s="280"/>
    </row>
    <row r="98" spans="2:11" s="123" customFormat="1" ht="15.75" thickBot="1" x14ac:dyDescent="0.25">
      <c r="B98" s="22" t="s">
        <v>59</v>
      </c>
      <c r="C98" s="22"/>
      <c r="D98" s="22"/>
      <c r="E98" s="22"/>
      <c r="F98" s="23"/>
      <c r="G98" s="23"/>
      <c r="H98" s="24"/>
      <c r="I98" s="24"/>
      <c r="J98" s="24">
        <v>15</v>
      </c>
      <c r="K98" s="108" t="s">
        <v>27</v>
      </c>
    </row>
    <row r="99" spans="2:11" s="123" customFormat="1" ht="36.75" customHeight="1" thickTop="1" x14ac:dyDescent="0.2">
      <c r="B99" s="269" t="s">
        <v>375</v>
      </c>
      <c r="C99" s="269"/>
      <c r="D99" s="269"/>
      <c r="E99" s="269"/>
      <c r="F99" s="269"/>
      <c r="G99" s="269"/>
      <c r="H99" s="269"/>
      <c r="I99" s="269"/>
      <c r="J99" s="269"/>
      <c r="K99" s="269"/>
    </row>
    <row r="100" spans="2:11" s="123" customFormat="1" ht="15.75" thickBot="1" x14ac:dyDescent="0.25">
      <c r="B100" s="22" t="s">
        <v>289</v>
      </c>
      <c r="C100" s="22"/>
      <c r="D100" s="22"/>
      <c r="E100" s="22"/>
      <c r="F100" s="23"/>
      <c r="G100" s="23"/>
      <c r="H100" s="24"/>
      <c r="I100" s="24"/>
      <c r="J100" s="24">
        <v>350</v>
      </c>
      <c r="K100" s="108" t="s">
        <v>27</v>
      </c>
    </row>
    <row r="101" spans="2:11" s="123" customFormat="1" ht="37.5" customHeight="1" thickTop="1" x14ac:dyDescent="0.2">
      <c r="B101" s="265" t="s">
        <v>548</v>
      </c>
      <c r="C101" s="265"/>
      <c r="D101" s="265"/>
      <c r="E101" s="265"/>
      <c r="F101" s="265"/>
      <c r="G101" s="265"/>
      <c r="H101" s="265"/>
      <c r="I101" s="265"/>
      <c r="J101" s="265"/>
      <c r="K101" s="265"/>
    </row>
    <row r="102" spans="2:11" s="123" customFormat="1" ht="15.75" thickBot="1" x14ac:dyDescent="0.25">
      <c r="B102" s="22" t="s">
        <v>290</v>
      </c>
      <c r="C102" s="22"/>
      <c r="D102" s="22"/>
      <c r="E102" s="22"/>
      <c r="F102" s="23"/>
      <c r="G102" s="23"/>
      <c r="H102" s="24"/>
      <c r="I102" s="24"/>
      <c r="J102" s="24">
        <v>400</v>
      </c>
      <c r="K102" s="108" t="s">
        <v>27</v>
      </c>
    </row>
    <row r="103" spans="2:11" s="123" customFormat="1" ht="67.5" customHeight="1" thickTop="1" x14ac:dyDescent="0.2">
      <c r="B103" s="265" t="s">
        <v>475</v>
      </c>
      <c r="C103" s="265"/>
      <c r="D103" s="265"/>
      <c r="E103" s="265"/>
      <c r="F103" s="265"/>
      <c r="G103" s="265"/>
      <c r="H103" s="265"/>
      <c r="I103" s="265"/>
      <c r="J103" s="265"/>
      <c r="K103" s="265"/>
    </row>
    <row r="104" spans="2:11" s="123" customFormat="1" ht="15.75" thickBot="1" x14ac:dyDescent="0.25">
      <c r="B104" s="22" t="s">
        <v>291</v>
      </c>
      <c r="C104" s="22"/>
      <c r="D104" s="22"/>
      <c r="E104" s="22"/>
      <c r="F104" s="23"/>
      <c r="G104" s="23"/>
      <c r="H104" s="24"/>
      <c r="I104" s="24"/>
      <c r="J104" s="24">
        <v>4449</v>
      </c>
      <c r="K104" s="108" t="s">
        <v>27</v>
      </c>
    </row>
    <row r="105" spans="2:11" s="123" customFormat="1" ht="86.25" customHeight="1" thickTop="1" x14ac:dyDescent="0.2">
      <c r="B105" s="265" t="s">
        <v>671</v>
      </c>
      <c r="C105" s="265"/>
      <c r="D105" s="265"/>
      <c r="E105" s="265"/>
      <c r="F105" s="265"/>
      <c r="G105" s="265"/>
      <c r="H105" s="265"/>
      <c r="I105" s="265"/>
      <c r="J105" s="265"/>
      <c r="K105" s="265"/>
    </row>
    <row r="106" spans="2:11" s="123" customFormat="1" ht="16.5" customHeight="1" x14ac:dyDescent="0.2">
      <c r="B106" s="214"/>
      <c r="C106" s="214"/>
      <c r="D106" s="214"/>
      <c r="E106" s="214"/>
      <c r="F106" s="214"/>
      <c r="G106" s="214"/>
      <c r="H106" s="214"/>
      <c r="I106" s="214"/>
      <c r="J106" s="214"/>
      <c r="K106" s="214"/>
    </row>
    <row r="107" spans="2:11" s="123" customFormat="1" ht="60.75" customHeight="1" x14ac:dyDescent="0.2">
      <c r="B107" s="275" t="s">
        <v>672</v>
      </c>
      <c r="C107" s="280"/>
      <c r="D107" s="280"/>
      <c r="E107" s="280"/>
      <c r="F107" s="280"/>
      <c r="G107" s="280"/>
      <c r="H107" s="280"/>
      <c r="I107" s="280"/>
      <c r="J107" s="280"/>
      <c r="K107" s="280"/>
    </row>
    <row r="108" spans="2:11" s="123" customFormat="1" ht="15.75" thickBot="1" x14ac:dyDescent="0.25">
      <c r="B108" s="22" t="s">
        <v>292</v>
      </c>
      <c r="C108" s="22"/>
      <c r="D108" s="22"/>
      <c r="E108" s="22"/>
      <c r="F108" s="23"/>
      <c r="G108" s="23"/>
      <c r="H108" s="24"/>
      <c r="I108" s="24"/>
      <c r="J108" s="24">
        <v>800</v>
      </c>
      <c r="K108" s="108" t="s">
        <v>27</v>
      </c>
    </row>
    <row r="109" spans="2:11" s="123" customFormat="1" ht="81.75" customHeight="1" thickTop="1" x14ac:dyDescent="0.2">
      <c r="B109" s="265" t="s">
        <v>476</v>
      </c>
      <c r="C109" s="265"/>
      <c r="D109" s="265"/>
      <c r="E109" s="265"/>
      <c r="F109" s="265"/>
      <c r="G109" s="265"/>
      <c r="H109" s="265"/>
      <c r="I109" s="265"/>
      <c r="J109" s="265"/>
      <c r="K109" s="265"/>
    </row>
    <row r="110" spans="2:11" s="123" customFormat="1" ht="15.75" thickBot="1" x14ac:dyDescent="0.25">
      <c r="B110" s="22" t="s">
        <v>293</v>
      </c>
      <c r="C110" s="22"/>
      <c r="D110" s="22"/>
      <c r="E110" s="22"/>
      <c r="F110" s="23"/>
      <c r="G110" s="23"/>
      <c r="H110" s="24"/>
      <c r="I110" s="24"/>
      <c r="J110" s="24">
        <v>3795</v>
      </c>
      <c r="K110" s="108" t="s">
        <v>27</v>
      </c>
    </row>
    <row r="111" spans="2:11" s="123" customFormat="1" ht="50.25" customHeight="1" thickTop="1" x14ac:dyDescent="0.2">
      <c r="B111" s="265" t="s">
        <v>477</v>
      </c>
      <c r="C111" s="265"/>
      <c r="D111" s="265"/>
      <c r="E111" s="265"/>
      <c r="F111" s="265"/>
      <c r="G111" s="265"/>
      <c r="H111" s="265"/>
      <c r="I111" s="265"/>
      <c r="J111" s="265"/>
      <c r="K111" s="265"/>
    </row>
    <row r="112" spans="2:11" s="123" customFormat="1" ht="15.75" thickBot="1" x14ac:dyDescent="0.25">
      <c r="B112" s="22" t="s">
        <v>294</v>
      </c>
      <c r="C112" s="22"/>
      <c r="D112" s="22"/>
      <c r="E112" s="22"/>
      <c r="F112" s="23"/>
      <c r="G112" s="23"/>
      <c r="H112" s="24"/>
      <c r="I112" s="24"/>
      <c r="J112" s="24">
        <v>1100</v>
      </c>
      <c r="K112" s="108" t="s">
        <v>27</v>
      </c>
    </row>
    <row r="113" spans="2:11" s="123" customFormat="1" ht="84.75" customHeight="1" thickTop="1" x14ac:dyDescent="0.2">
      <c r="B113" s="265" t="s">
        <v>478</v>
      </c>
      <c r="C113" s="265"/>
      <c r="D113" s="265"/>
      <c r="E113" s="265"/>
      <c r="F113" s="265"/>
      <c r="G113" s="265"/>
      <c r="H113" s="265"/>
      <c r="I113" s="265"/>
      <c r="J113" s="265"/>
      <c r="K113" s="265"/>
    </row>
    <row r="114" spans="2:11" s="123" customFormat="1" ht="15.75" thickBot="1" x14ac:dyDescent="0.25">
      <c r="B114" s="22" t="s">
        <v>295</v>
      </c>
      <c r="C114" s="22"/>
      <c r="D114" s="22"/>
      <c r="E114" s="22"/>
      <c r="F114" s="23"/>
      <c r="G114" s="23"/>
      <c r="H114" s="24"/>
      <c r="I114" s="24"/>
      <c r="J114" s="24">
        <v>350</v>
      </c>
      <c r="K114" s="108" t="s">
        <v>27</v>
      </c>
    </row>
    <row r="115" spans="2:11" s="123" customFormat="1" ht="51.75" customHeight="1" thickTop="1" x14ac:dyDescent="0.2">
      <c r="B115" s="269" t="s">
        <v>623</v>
      </c>
      <c r="C115" s="269"/>
      <c r="D115" s="269"/>
      <c r="E115" s="269"/>
      <c r="F115" s="269"/>
      <c r="G115" s="269"/>
      <c r="H115" s="269"/>
      <c r="I115" s="269"/>
      <c r="J115" s="269"/>
      <c r="K115" s="269"/>
    </row>
    <row r="116" spans="2:11" s="123" customFormat="1" ht="15.75" thickBot="1" x14ac:dyDescent="0.25">
      <c r="B116" s="22" t="s">
        <v>296</v>
      </c>
      <c r="C116" s="22"/>
      <c r="D116" s="22"/>
      <c r="E116" s="22"/>
      <c r="F116" s="23"/>
      <c r="G116" s="23"/>
      <c r="H116" s="24"/>
      <c r="I116" s="24"/>
      <c r="J116" s="24">
        <v>50</v>
      </c>
      <c r="K116" s="108" t="s">
        <v>27</v>
      </c>
    </row>
    <row r="117" spans="2:11" s="123" customFormat="1" ht="54" customHeight="1" thickTop="1" x14ac:dyDescent="0.2">
      <c r="B117" s="269" t="s">
        <v>624</v>
      </c>
      <c r="C117" s="269"/>
      <c r="D117" s="269"/>
      <c r="E117" s="269"/>
      <c r="F117" s="269"/>
      <c r="G117" s="269"/>
      <c r="H117" s="269"/>
      <c r="I117" s="269"/>
      <c r="J117" s="269"/>
      <c r="K117" s="269"/>
    </row>
    <row r="118" spans="2:11" s="123" customFormat="1" ht="15.75" thickBot="1" x14ac:dyDescent="0.25">
      <c r="B118" s="22" t="s">
        <v>297</v>
      </c>
      <c r="C118" s="22"/>
      <c r="D118" s="22"/>
      <c r="E118" s="22"/>
      <c r="F118" s="23"/>
      <c r="G118" s="23"/>
      <c r="H118" s="24"/>
      <c r="I118" s="24"/>
      <c r="J118" s="24">
        <v>1500</v>
      </c>
      <c r="K118" s="108" t="s">
        <v>27</v>
      </c>
    </row>
    <row r="119" spans="2:11" s="123" customFormat="1" ht="90.75" customHeight="1" thickTop="1" x14ac:dyDescent="0.2">
      <c r="B119" s="265" t="s">
        <v>673</v>
      </c>
      <c r="C119" s="265"/>
      <c r="D119" s="265"/>
      <c r="E119" s="265"/>
      <c r="F119" s="265"/>
      <c r="G119" s="265"/>
      <c r="H119" s="265"/>
      <c r="I119" s="265"/>
      <c r="J119" s="265"/>
      <c r="K119" s="265"/>
    </row>
    <row r="120" spans="2:11" s="123" customFormat="1" ht="15.75" thickBot="1" x14ac:dyDescent="0.25">
      <c r="B120" s="22" t="s">
        <v>298</v>
      </c>
      <c r="C120" s="22"/>
      <c r="D120" s="22"/>
      <c r="E120" s="22"/>
      <c r="F120" s="23"/>
      <c r="G120" s="23"/>
      <c r="H120" s="24"/>
      <c r="I120" s="24"/>
      <c r="J120" s="24">
        <v>3900</v>
      </c>
      <c r="K120" s="108" t="s">
        <v>27</v>
      </c>
    </row>
    <row r="121" spans="2:11" s="123" customFormat="1" ht="24" customHeight="1" thickTop="1" x14ac:dyDescent="0.2">
      <c r="B121" s="269" t="s">
        <v>376</v>
      </c>
      <c r="C121" s="269"/>
      <c r="D121" s="269"/>
      <c r="E121" s="269"/>
      <c r="F121" s="269"/>
      <c r="G121" s="269"/>
      <c r="H121" s="269"/>
      <c r="I121" s="269"/>
      <c r="J121" s="269"/>
      <c r="K121" s="269"/>
    </row>
    <row r="122" spans="2:11" s="123" customFormat="1" ht="15.75" thickBot="1" x14ac:dyDescent="0.25">
      <c r="B122" s="22" t="s">
        <v>299</v>
      </c>
      <c r="C122" s="22"/>
      <c r="D122" s="22"/>
      <c r="E122" s="22"/>
      <c r="F122" s="23"/>
      <c r="G122" s="23"/>
      <c r="H122" s="24"/>
      <c r="I122" s="24"/>
      <c r="J122" s="24">
        <v>6900</v>
      </c>
      <c r="K122" s="108" t="s">
        <v>27</v>
      </c>
    </row>
    <row r="123" spans="2:11" s="123" customFormat="1" ht="106.5" customHeight="1" thickTop="1" x14ac:dyDescent="0.2">
      <c r="B123" s="265" t="s">
        <v>479</v>
      </c>
      <c r="C123" s="265"/>
      <c r="D123" s="265"/>
      <c r="E123" s="265"/>
      <c r="F123" s="265"/>
      <c r="G123" s="265"/>
      <c r="H123" s="265"/>
      <c r="I123" s="265"/>
      <c r="J123" s="265"/>
      <c r="K123" s="265"/>
    </row>
    <row r="124" spans="2:11" s="123" customFormat="1" ht="15.75" thickBot="1" x14ac:dyDescent="0.25">
      <c r="B124" s="22" t="s">
        <v>300</v>
      </c>
      <c r="C124" s="22"/>
      <c r="D124" s="22"/>
      <c r="E124" s="22"/>
      <c r="F124" s="23"/>
      <c r="G124" s="23"/>
      <c r="H124" s="24"/>
      <c r="I124" s="24"/>
      <c r="J124" s="24">
        <v>100</v>
      </c>
      <c r="K124" s="108" t="s">
        <v>27</v>
      </c>
    </row>
    <row r="125" spans="2:11" s="123" customFormat="1" ht="54.75" customHeight="1" thickTop="1" x14ac:dyDescent="0.2">
      <c r="B125" s="265" t="s">
        <v>404</v>
      </c>
      <c r="C125" s="265"/>
      <c r="D125" s="265"/>
      <c r="E125" s="265"/>
      <c r="F125" s="265"/>
      <c r="G125" s="265"/>
      <c r="H125" s="265"/>
      <c r="I125" s="265"/>
      <c r="J125" s="265"/>
      <c r="K125" s="265"/>
    </row>
    <row r="126" spans="2:11" s="123" customFormat="1" ht="15.75" thickBot="1" x14ac:dyDescent="0.25">
      <c r="B126" s="22" t="s">
        <v>301</v>
      </c>
      <c r="C126" s="22"/>
      <c r="D126" s="22"/>
      <c r="E126" s="22"/>
      <c r="F126" s="23"/>
      <c r="G126" s="23"/>
      <c r="H126" s="24"/>
      <c r="I126" s="24"/>
      <c r="J126" s="24">
        <v>5</v>
      </c>
      <c r="K126" s="108" t="s">
        <v>27</v>
      </c>
    </row>
    <row r="127" spans="2:11" s="123" customFormat="1" ht="40.5" customHeight="1" thickTop="1" x14ac:dyDescent="0.2">
      <c r="B127" s="265" t="s">
        <v>405</v>
      </c>
      <c r="C127" s="265"/>
      <c r="D127" s="265"/>
      <c r="E127" s="265"/>
      <c r="F127" s="265"/>
      <c r="G127" s="265"/>
      <c r="H127" s="265"/>
      <c r="I127" s="265"/>
      <c r="J127" s="265"/>
      <c r="K127" s="265"/>
    </row>
    <row r="128" spans="2:11" s="123" customFormat="1" ht="16.5" customHeight="1" x14ac:dyDescent="0.2">
      <c r="B128" s="191"/>
      <c r="C128" s="191"/>
      <c r="D128" s="191"/>
      <c r="E128" s="191"/>
      <c r="F128" s="191"/>
      <c r="G128" s="191"/>
      <c r="H128" s="191"/>
      <c r="I128" s="191"/>
      <c r="J128" s="191"/>
      <c r="K128" s="191"/>
    </row>
    <row r="129" spans="2:11" s="123" customFormat="1" ht="16.5" customHeight="1" x14ac:dyDescent="0.2">
      <c r="B129" s="191"/>
      <c r="C129" s="191"/>
      <c r="D129" s="191"/>
      <c r="E129" s="191"/>
      <c r="F129" s="191"/>
      <c r="G129" s="191"/>
      <c r="H129" s="191"/>
      <c r="I129" s="191"/>
      <c r="J129" s="191"/>
      <c r="K129" s="191"/>
    </row>
    <row r="130" spans="2:11" s="123" customFormat="1" ht="15.75" thickBot="1" x14ac:dyDescent="0.25">
      <c r="B130" s="22" t="s">
        <v>302</v>
      </c>
      <c r="C130" s="22"/>
      <c r="D130" s="22"/>
      <c r="E130" s="22"/>
      <c r="F130" s="23"/>
      <c r="G130" s="23"/>
      <c r="H130" s="24"/>
      <c r="I130" s="24"/>
      <c r="J130" s="24">
        <v>2</v>
      </c>
      <c r="K130" s="108" t="s">
        <v>27</v>
      </c>
    </row>
    <row r="131" spans="2:11" s="123" customFormat="1" ht="40.5" customHeight="1" thickTop="1" x14ac:dyDescent="0.2">
      <c r="B131" s="265" t="s">
        <v>480</v>
      </c>
      <c r="C131" s="265"/>
      <c r="D131" s="265"/>
      <c r="E131" s="265"/>
      <c r="F131" s="265"/>
      <c r="G131" s="265"/>
      <c r="H131" s="265"/>
      <c r="I131" s="265"/>
      <c r="J131" s="265"/>
      <c r="K131" s="265"/>
    </row>
    <row r="132" spans="2:11" s="123" customFormat="1" ht="15.75" thickBot="1" x14ac:dyDescent="0.25">
      <c r="B132" s="22" t="s">
        <v>303</v>
      </c>
      <c r="C132" s="22"/>
      <c r="D132" s="22"/>
      <c r="E132" s="22"/>
      <c r="F132" s="23"/>
      <c r="G132" s="23"/>
      <c r="H132" s="24"/>
      <c r="I132" s="24"/>
      <c r="J132" s="24">
        <v>5</v>
      </c>
      <c r="K132" s="108" t="s">
        <v>27</v>
      </c>
    </row>
    <row r="133" spans="2:11" s="123" customFormat="1" ht="26.1" customHeight="1" thickTop="1" x14ac:dyDescent="0.2">
      <c r="B133" s="269" t="s">
        <v>377</v>
      </c>
      <c r="C133" s="269"/>
      <c r="D133" s="269"/>
      <c r="E133" s="269"/>
      <c r="F133" s="269"/>
      <c r="G133" s="269"/>
      <c r="H133" s="269"/>
      <c r="I133" s="269"/>
      <c r="J133" s="269"/>
      <c r="K133" s="269"/>
    </row>
    <row r="134" spans="2:11" s="123" customFormat="1" ht="26.1" customHeight="1" x14ac:dyDescent="0.2">
      <c r="B134" s="218"/>
      <c r="C134" s="218"/>
      <c r="D134" s="218"/>
      <c r="E134" s="218"/>
      <c r="F134" s="218"/>
      <c r="G134" s="218"/>
      <c r="H134" s="218"/>
      <c r="I134" s="218"/>
      <c r="J134" s="218"/>
      <c r="K134" s="218"/>
    </row>
    <row r="135" spans="2:11" s="123" customFormat="1" ht="15.75" customHeight="1" x14ac:dyDescent="0.2">
      <c r="B135" s="218"/>
      <c r="C135" s="218"/>
      <c r="D135" s="218"/>
      <c r="E135" s="218"/>
      <c r="F135" s="218"/>
      <c r="G135" s="218"/>
      <c r="H135" s="218"/>
      <c r="I135" s="218"/>
      <c r="J135" s="218"/>
      <c r="K135" s="218"/>
    </row>
    <row r="136" spans="2:11" s="123" customFormat="1" ht="15.75" thickBot="1" x14ac:dyDescent="0.25">
      <c r="B136" s="22" t="s">
        <v>304</v>
      </c>
      <c r="C136" s="22"/>
      <c r="D136" s="22"/>
      <c r="E136" s="22"/>
      <c r="F136" s="23"/>
      <c r="G136" s="23"/>
      <c r="H136" s="24"/>
      <c r="I136" s="24"/>
      <c r="J136" s="24">
        <v>210</v>
      </c>
      <c r="K136" s="108" t="s">
        <v>27</v>
      </c>
    </row>
    <row r="137" spans="2:11" s="123" customFormat="1" ht="55.5" customHeight="1" thickTop="1" x14ac:dyDescent="0.2">
      <c r="B137" s="269" t="s">
        <v>625</v>
      </c>
      <c r="C137" s="269"/>
      <c r="D137" s="269"/>
      <c r="E137" s="269"/>
      <c r="F137" s="269"/>
      <c r="G137" s="269"/>
      <c r="H137" s="269"/>
      <c r="I137" s="269"/>
      <c r="J137" s="269"/>
      <c r="K137" s="269"/>
    </row>
    <row r="138" spans="2:11" s="123" customFormat="1" ht="15.75" thickBot="1" x14ac:dyDescent="0.25">
      <c r="B138" s="22" t="s">
        <v>305</v>
      </c>
      <c r="C138" s="22"/>
      <c r="D138" s="22"/>
      <c r="E138" s="22"/>
      <c r="F138" s="23"/>
      <c r="G138" s="23"/>
      <c r="H138" s="24"/>
      <c r="I138" s="24"/>
      <c r="J138" s="24">
        <v>30</v>
      </c>
      <c r="K138" s="108" t="s">
        <v>27</v>
      </c>
    </row>
    <row r="139" spans="2:11" s="123" customFormat="1" ht="71.25" customHeight="1" thickTop="1" x14ac:dyDescent="0.2">
      <c r="B139" s="265" t="s">
        <v>481</v>
      </c>
      <c r="C139" s="265"/>
      <c r="D139" s="265"/>
      <c r="E139" s="265"/>
      <c r="F139" s="265"/>
      <c r="G139" s="265"/>
      <c r="H139" s="265"/>
      <c r="I139" s="265"/>
      <c r="J139" s="265"/>
      <c r="K139" s="265"/>
    </row>
    <row r="140" spans="2:11" s="123" customFormat="1" ht="15.75" thickBot="1" x14ac:dyDescent="0.25">
      <c r="B140" s="22" t="s">
        <v>306</v>
      </c>
      <c r="C140" s="22"/>
      <c r="D140" s="22"/>
      <c r="E140" s="22"/>
      <c r="F140" s="23"/>
      <c r="G140" s="23"/>
      <c r="H140" s="24"/>
      <c r="I140" s="24"/>
      <c r="J140" s="24">
        <v>250</v>
      </c>
      <c r="K140" s="108" t="s">
        <v>27</v>
      </c>
    </row>
    <row r="141" spans="2:11" s="123" customFormat="1" ht="69.75" customHeight="1" thickTop="1" x14ac:dyDescent="0.2">
      <c r="B141" s="265" t="s">
        <v>482</v>
      </c>
      <c r="C141" s="265"/>
      <c r="D141" s="265"/>
      <c r="E141" s="265"/>
      <c r="F141" s="265"/>
      <c r="G141" s="265"/>
      <c r="H141" s="265"/>
      <c r="I141" s="265"/>
      <c r="J141" s="265"/>
      <c r="K141" s="265"/>
    </row>
    <row r="142" spans="2:11" s="123" customFormat="1" ht="15.75" thickBot="1" x14ac:dyDescent="0.25">
      <c r="B142" s="22" t="s">
        <v>307</v>
      </c>
      <c r="C142" s="22"/>
      <c r="D142" s="22"/>
      <c r="E142" s="22"/>
      <c r="F142" s="23"/>
      <c r="G142" s="23"/>
      <c r="H142" s="24"/>
      <c r="I142" s="24"/>
      <c r="J142" s="24">
        <v>170</v>
      </c>
      <c r="K142" s="108" t="s">
        <v>27</v>
      </c>
    </row>
    <row r="143" spans="2:11" s="123" customFormat="1" ht="83.25" customHeight="1" thickTop="1" x14ac:dyDescent="0.2">
      <c r="B143" s="265" t="s">
        <v>483</v>
      </c>
      <c r="C143" s="265"/>
      <c r="D143" s="265"/>
      <c r="E143" s="265"/>
      <c r="F143" s="265"/>
      <c r="G143" s="265"/>
      <c r="H143" s="265"/>
      <c r="I143" s="265"/>
      <c r="J143" s="265"/>
      <c r="K143" s="265"/>
    </row>
    <row r="144" spans="2:11" s="123" customFormat="1" ht="15.75" thickBot="1" x14ac:dyDescent="0.25">
      <c r="B144" s="22" t="s">
        <v>308</v>
      </c>
      <c r="C144" s="22"/>
      <c r="D144" s="22"/>
      <c r="E144" s="22"/>
      <c r="F144" s="23"/>
      <c r="G144" s="23"/>
      <c r="H144" s="24"/>
      <c r="I144" s="24"/>
      <c r="J144" s="24">
        <v>200</v>
      </c>
      <c r="K144" s="108" t="s">
        <v>27</v>
      </c>
    </row>
    <row r="145" spans="2:11" s="123" customFormat="1" ht="56.25" customHeight="1" thickTop="1" x14ac:dyDescent="0.2">
      <c r="B145" s="265" t="s">
        <v>485</v>
      </c>
      <c r="C145" s="265"/>
      <c r="D145" s="265"/>
      <c r="E145" s="265"/>
      <c r="F145" s="265"/>
      <c r="G145" s="265"/>
      <c r="H145" s="265"/>
      <c r="I145" s="265"/>
      <c r="J145" s="265"/>
      <c r="K145" s="265"/>
    </row>
    <row r="146" spans="2:11" s="123" customFormat="1" ht="16.5" customHeight="1" x14ac:dyDescent="0.2">
      <c r="B146" s="273" t="s">
        <v>562</v>
      </c>
      <c r="C146" s="274"/>
      <c r="D146" s="274"/>
      <c r="E146" s="274"/>
      <c r="F146" s="274"/>
      <c r="G146" s="274"/>
      <c r="H146" s="274"/>
      <c r="I146" s="187"/>
      <c r="J146" s="187"/>
      <c r="K146" s="187"/>
    </row>
    <row r="147" spans="2:11" s="123" customFormat="1" ht="15.75" thickBot="1" x14ac:dyDescent="0.25">
      <c r="B147" s="22" t="s">
        <v>309</v>
      </c>
      <c r="C147" s="22"/>
      <c r="D147" s="22"/>
      <c r="E147" s="22"/>
      <c r="F147" s="23"/>
      <c r="G147" s="23"/>
      <c r="H147" s="24"/>
      <c r="I147" s="24"/>
      <c r="J147" s="24">
        <v>6000</v>
      </c>
      <c r="K147" s="108" t="s">
        <v>27</v>
      </c>
    </row>
    <row r="148" spans="2:11" s="123" customFormat="1" ht="85.5" customHeight="1" thickTop="1" x14ac:dyDescent="0.2">
      <c r="B148" s="265" t="s">
        <v>484</v>
      </c>
      <c r="C148" s="265"/>
      <c r="D148" s="265"/>
      <c r="E148" s="265"/>
      <c r="F148" s="265"/>
      <c r="G148" s="265"/>
      <c r="H148" s="265"/>
      <c r="I148" s="265"/>
      <c r="J148" s="265"/>
      <c r="K148" s="265"/>
    </row>
    <row r="149" spans="2:11" s="123" customFormat="1" ht="16.5" customHeight="1" x14ac:dyDescent="0.2">
      <c r="B149" s="273" t="s">
        <v>563</v>
      </c>
      <c r="C149" s="274"/>
      <c r="D149" s="274"/>
      <c r="E149" s="274"/>
      <c r="F149" s="274"/>
      <c r="G149" s="274"/>
      <c r="H149" s="274"/>
      <c r="I149" s="187"/>
      <c r="J149" s="187"/>
      <c r="K149" s="187"/>
    </row>
    <row r="150" spans="2:11" s="123" customFormat="1" ht="15.75" thickBot="1" x14ac:dyDescent="0.25">
      <c r="B150" s="22" t="s">
        <v>310</v>
      </c>
      <c r="C150" s="22"/>
      <c r="D150" s="22"/>
      <c r="E150" s="22"/>
      <c r="F150" s="23"/>
      <c r="G150" s="23"/>
      <c r="H150" s="24"/>
      <c r="I150" s="24"/>
      <c r="J150" s="24">
        <v>6000</v>
      </c>
      <c r="K150" s="108" t="s">
        <v>27</v>
      </c>
    </row>
    <row r="151" spans="2:11" s="123" customFormat="1" ht="84" customHeight="1" thickTop="1" x14ac:dyDescent="0.2">
      <c r="B151" s="265" t="s">
        <v>626</v>
      </c>
      <c r="C151" s="265"/>
      <c r="D151" s="265"/>
      <c r="E151" s="265"/>
      <c r="F151" s="265"/>
      <c r="G151" s="265"/>
      <c r="H151" s="265"/>
      <c r="I151" s="265"/>
      <c r="J151" s="265"/>
      <c r="K151" s="265"/>
    </row>
    <row r="152" spans="2:11" s="123" customFormat="1" ht="15.75" thickBot="1" x14ac:dyDescent="0.25">
      <c r="B152" s="22" t="s">
        <v>311</v>
      </c>
      <c r="C152" s="22"/>
      <c r="D152" s="22"/>
      <c r="E152" s="22"/>
      <c r="F152" s="23"/>
      <c r="G152" s="23"/>
      <c r="H152" s="24"/>
      <c r="I152" s="24"/>
      <c r="J152" s="24">
        <v>100</v>
      </c>
      <c r="K152" s="108" t="s">
        <v>27</v>
      </c>
    </row>
    <row r="153" spans="2:11" s="123" customFormat="1" ht="42.75" customHeight="1" thickTop="1" x14ac:dyDescent="0.2">
      <c r="B153" s="265" t="s">
        <v>488</v>
      </c>
      <c r="C153" s="265"/>
      <c r="D153" s="265"/>
      <c r="E153" s="265"/>
      <c r="F153" s="265"/>
      <c r="G153" s="265"/>
      <c r="H153" s="265"/>
      <c r="I153" s="265"/>
      <c r="J153" s="265"/>
      <c r="K153" s="265"/>
    </row>
    <row r="154" spans="2:11" s="123" customFormat="1" ht="15.75" thickBot="1" x14ac:dyDescent="0.25">
      <c r="B154" s="22" t="s">
        <v>228</v>
      </c>
      <c r="C154" s="22"/>
      <c r="D154" s="22"/>
      <c r="E154" s="22"/>
      <c r="F154" s="23"/>
      <c r="G154" s="23"/>
      <c r="H154" s="24"/>
      <c r="I154" s="24"/>
      <c r="J154" s="24">
        <v>2300</v>
      </c>
      <c r="K154" s="108" t="s">
        <v>27</v>
      </c>
    </row>
    <row r="155" spans="2:11" s="123" customFormat="1" ht="111" customHeight="1" thickTop="1" x14ac:dyDescent="0.2">
      <c r="B155" s="265" t="s">
        <v>487</v>
      </c>
      <c r="C155" s="265"/>
      <c r="D155" s="265"/>
      <c r="E155" s="265"/>
      <c r="F155" s="265"/>
      <c r="G155" s="265"/>
      <c r="H155" s="265"/>
      <c r="I155" s="265"/>
      <c r="J155" s="265"/>
      <c r="K155" s="265"/>
    </row>
    <row r="156" spans="2:11" s="123" customFormat="1" ht="15.75" thickBot="1" x14ac:dyDescent="0.25">
      <c r="B156" s="22" t="s">
        <v>229</v>
      </c>
      <c r="C156" s="22"/>
      <c r="D156" s="22"/>
      <c r="E156" s="22"/>
      <c r="F156" s="23"/>
      <c r="G156" s="23"/>
      <c r="H156" s="24"/>
      <c r="I156" s="24"/>
      <c r="J156" s="24">
        <v>100</v>
      </c>
      <c r="K156" s="108" t="s">
        <v>27</v>
      </c>
    </row>
    <row r="157" spans="2:11" s="123" customFormat="1" ht="24" customHeight="1" thickTop="1" x14ac:dyDescent="0.2">
      <c r="B157" s="269" t="s">
        <v>378</v>
      </c>
      <c r="C157" s="269"/>
      <c r="D157" s="269"/>
      <c r="E157" s="269"/>
      <c r="F157" s="269"/>
      <c r="G157" s="269"/>
      <c r="H157" s="269"/>
      <c r="I157" s="269"/>
      <c r="J157" s="269"/>
      <c r="K157" s="269"/>
    </row>
    <row r="158" spans="2:11" s="123" customFormat="1" ht="16.5" customHeight="1" x14ac:dyDescent="0.2">
      <c r="B158" s="192"/>
      <c r="C158" s="192"/>
      <c r="D158" s="192"/>
      <c r="E158" s="192"/>
      <c r="F158" s="192"/>
      <c r="G158" s="192"/>
      <c r="H158" s="192"/>
      <c r="I158" s="192"/>
      <c r="J158" s="192"/>
      <c r="K158" s="192"/>
    </row>
    <row r="159" spans="2:11" s="123" customFormat="1" ht="16.5" customHeight="1" x14ac:dyDescent="0.2">
      <c r="B159" s="192"/>
      <c r="C159" s="192"/>
      <c r="D159" s="192"/>
      <c r="E159" s="192"/>
      <c r="F159" s="192"/>
      <c r="G159" s="192"/>
      <c r="H159" s="192"/>
      <c r="I159" s="192"/>
      <c r="J159" s="192"/>
      <c r="K159" s="192"/>
    </row>
    <row r="160" spans="2:11" s="123" customFormat="1" ht="16.5" customHeight="1" x14ac:dyDescent="0.2">
      <c r="B160" s="218"/>
      <c r="C160" s="218"/>
      <c r="D160" s="218"/>
      <c r="E160" s="218"/>
      <c r="F160" s="218"/>
      <c r="G160" s="218"/>
      <c r="H160" s="218"/>
      <c r="I160" s="218"/>
      <c r="J160" s="218"/>
      <c r="K160" s="218"/>
    </row>
    <row r="161" spans="2:11" s="123" customFormat="1" ht="16.5" customHeight="1" x14ac:dyDescent="0.2">
      <c r="B161" s="218"/>
      <c r="C161" s="218"/>
      <c r="D161" s="218"/>
      <c r="E161" s="218"/>
      <c r="F161" s="218"/>
      <c r="G161" s="218"/>
      <c r="H161" s="218"/>
      <c r="I161" s="218"/>
      <c r="J161" s="218"/>
      <c r="K161" s="218"/>
    </row>
    <row r="162" spans="2:11" s="123" customFormat="1" ht="16.5" customHeight="1" x14ac:dyDescent="0.2">
      <c r="B162" s="218"/>
      <c r="C162" s="218"/>
      <c r="D162" s="218"/>
      <c r="E162" s="218"/>
      <c r="F162" s="218"/>
      <c r="G162" s="218"/>
      <c r="H162" s="218"/>
      <c r="I162" s="218"/>
      <c r="J162" s="218"/>
      <c r="K162" s="218"/>
    </row>
    <row r="163" spans="2:11" s="123" customFormat="1" ht="16.5" customHeight="1" x14ac:dyDescent="0.2">
      <c r="B163" s="218"/>
      <c r="C163" s="218"/>
      <c r="D163" s="218"/>
      <c r="E163" s="218"/>
      <c r="F163" s="218"/>
      <c r="G163" s="218"/>
      <c r="H163" s="218"/>
      <c r="I163" s="218"/>
      <c r="J163" s="218"/>
      <c r="K163" s="218"/>
    </row>
    <row r="164" spans="2:11" s="123" customFormat="1" ht="16.5" customHeight="1" x14ac:dyDescent="0.2">
      <c r="B164" s="218"/>
      <c r="C164" s="218"/>
      <c r="D164" s="218"/>
      <c r="E164" s="218"/>
      <c r="F164" s="218"/>
      <c r="G164" s="218"/>
      <c r="H164" s="218"/>
      <c r="I164" s="218"/>
      <c r="J164" s="218"/>
      <c r="K164" s="218"/>
    </row>
    <row r="165" spans="2:11" s="123" customFormat="1" ht="15.75" thickBot="1" x14ac:dyDescent="0.25">
      <c r="B165" s="22" t="s">
        <v>29</v>
      </c>
      <c r="C165" s="22"/>
      <c r="D165" s="22"/>
      <c r="E165" s="22"/>
      <c r="F165" s="23"/>
      <c r="G165" s="23"/>
      <c r="H165" s="24"/>
      <c r="I165" s="24"/>
      <c r="J165" s="24">
        <v>100</v>
      </c>
      <c r="K165" s="108" t="s">
        <v>27</v>
      </c>
    </row>
    <row r="166" spans="2:11" s="123" customFormat="1" ht="144" customHeight="1" thickTop="1" x14ac:dyDescent="0.2">
      <c r="B166" s="265" t="s">
        <v>379</v>
      </c>
      <c r="C166" s="265"/>
      <c r="D166" s="265"/>
      <c r="E166" s="265"/>
      <c r="F166" s="265"/>
      <c r="G166" s="265"/>
      <c r="H166" s="265"/>
      <c r="I166" s="265"/>
      <c r="J166" s="265"/>
      <c r="K166" s="265"/>
    </row>
    <row r="167" spans="2:11" s="123" customFormat="1" ht="15.75" thickBot="1" x14ac:dyDescent="0.25">
      <c r="B167" s="22" t="s">
        <v>29</v>
      </c>
      <c r="C167" s="22"/>
      <c r="D167" s="22"/>
      <c r="E167" s="22"/>
      <c r="F167" s="23"/>
      <c r="G167" s="23"/>
      <c r="H167" s="24"/>
      <c r="I167" s="24"/>
      <c r="J167" s="24">
        <v>1200</v>
      </c>
      <c r="K167" s="108" t="s">
        <v>27</v>
      </c>
    </row>
    <row r="168" spans="2:11" s="206" customFormat="1" ht="62.25" customHeight="1" thickTop="1" x14ac:dyDescent="0.2">
      <c r="B168" s="265" t="s">
        <v>627</v>
      </c>
      <c r="C168" s="265"/>
      <c r="D168" s="265"/>
      <c r="E168" s="265"/>
      <c r="F168" s="265"/>
      <c r="G168" s="265"/>
      <c r="H168" s="265"/>
      <c r="I168" s="265"/>
      <c r="J168" s="265"/>
      <c r="K168" s="265"/>
    </row>
    <row r="169" spans="2:11" s="123" customFormat="1" ht="15.75" thickBot="1" x14ac:dyDescent="0.25">
      <c r="B169" s="22" t="s">
        <v>30</v>
      </c>
      <c r="C169" s="22"/>
      <c r="D169" s="22"/>
      <c r="E169" s="22"/>
      <c r="F169" s="23"/>
      <c r="G169" s="23"/>
      <c r="H169" s="24"/>
      <c r="I169" s="24"/>
      <c r="J169" s="24">
        <v>100</v>
      </c>
      <c r="K169" s="108" t="s">
        <v>27</v>
      </c>
    </row>
    <row r="170" spans="2:11" s="123" customFormat="1" ht="42.75" customHeight="1" thickTop="1" x14ac:dyDescent="0.2">
      <c r="B170" s="265" t="s">
        <v>486</v>
      </c>
      <c r="C170" s="265"/>
      <c r="D170" s="265"/>
      <c r="E170" s="265"/>
      <c r="F170" s="265"/>
      <c r="G170" s="265"/>
      <c r="H170" s="265"/>
      <c r="I170" s="265"/>
      <c r="J170" s="265"/>
      <c r="K170" s="265"/>
    </row>
    <row r="171" spans="2:11" s="123" customFormat="1" ht="15.75" thickBot="1" x14ac:dyDescent="0.25">
      <c r="B171" s="22" t="s">
        <v>312</v>
      </c>
      <c r="C171" s="22"/>
      <c r="D171" s="22"/>
      <c r="E171" s="22"/>
      <c r="F171" s="23"/>
      <c r="G171" s="23"/>
      <c r="H171" s="24"/>
      <c r="I171" s="24"/>
      <c r="J171" s="24">
        <v>5400</v>
      </c>
      <c r="K171" s="108" t="s">
        <v>27</v>
      </c>
    </row>
    <row r="172" spans="2:11" s="123" customFormat="1" ht="29.1" customHeight="1" thickTop="1" x14ac:dyDescent="0.2">
      <c r="B172" s="265" t="s">
        <v>406</v>
      </c>
      <c r="C172" s="265"/>
      <c r="D172" s="265"/>
      <c r="E172" s="265"/>
      <c r="F172" s="265"/>
      <c r="G172" s="265"/>
      <c r="H172" s="265"/>
      <c r="I172" s="265"/>
      <c r="J172" s="265"/>
      <c r="K172" s="265"/>
    </row>
    <row r="173" spans="2:11" s="123" customFormat="1" ht="14.25" x14ac:dyDescent="0.2">
      <c r="K173" s="186"/>
    </row>
    <row r="174" spans="2:11" s="123" customFormat="1" ht="14.25" x14ac:dyDescent="0.2">
      <c r="K174" s="186"/>
    </row>
    <row r="175" spans="2:11" s="123" customFormat="1" ht="14.25" x14ac:dyDescent="0.2">
      <c r="K175" s="186"/>
    </row>
    <row r="176" spans="2:11" s="123" customFormat="1" ht="14.25" x14ac:dyDescent="0.2">
      <c r="K176" s="186"/>
    </row>
    <row r="177" spans="11:11" s="123" customFormat="1" ht="14.25" x14ac:dyDescent="0.2">
      <c r="K177" s="186"/>
    </row>
    <row r="178" spans="11:11" s="123" customFormat="1" ht="14.25" x14ac:dyDescent="0.2">
      <c r="K178" s="186"/>
    </row>
    <row r="179" spans="11:11" s="123" customFormat="1" ht="14.25" x14ac:dyDescent="0.2">
      <c r="K179" s="186"/>
    </row>
    <row r="180" spans="11:11" s="123" customFormat="1" ht="14.25" x14ac:dyDescent="0.2">
      <c r="K180" s="186"/>
    </row>
    <row r="181" spans="11:11" s="123" customFormat="1" ht="14.25" x14ac:dyDescent="0.2">
      <c r="K181" s="186"/>
    </row>
    <row r="182" spans="11:11" s="123" customFormat="1" ht="14.25" x14ac:dyDescent="0.2">
      <c r="K182" s="186"/>
    </row>
    <row r="183" spans="11:11" s="123" customFormat="1" ht="14.25" x14ac:dyDescent="0.2">
      <c r="K183" s="186"/>
    </row>
    <row r="184" spans="11:11" s="123" customFormat="1" ht="14.25" x14ac:dyDescent="0.2">
      <c r="K184" s="186"/>
    </row>
    <row r="185" spans="11:11" s="123" customFormat="1" ht="14.25" x14ac:dyDescent="0.2">
      <c r="K185" s="186"/>
    </row>
    <row r="186" spans="11:11" s="123" customFormat="1" ht="14.25" x14ac:dyDescent="0.2">
      <c r="K186" s="186"/>
    </row>
    <row r="187" spans="11:11" s="123" customFormat="1" ht="14.25" x14ac:dyDescent="0.2">
      <c r="K187" s="186"/>
    </row>
  </sheetData>
  <mergeCells count="41">
    <mergeCell ref="B95:K96"/>
    <mergeCell ref="B99:K99"/>
    <mergeCell ref="B125:K125"/>
    <mergeCell ref="B2:F2"/>
    <mergeCell ref="B85:K85"/>
    <mergeCell ref="B87:K87"/>
    <mergeCell ref="F56:J56"/>
    <mergeCell ref="B101:K101"/>
    <mergeCell ref="B103:K103"/>
    <mergeCell ref="B105:K105"/>
    <mergeCell ref="F65:J65"/>
    <mergeCell ref="B97:K97"/>
    <mergeCell ref="B89:K89"/>
    <mergeCell ref="B107:K107"/>
    <mergeCell ref="B139:K139"/>
    <mergeCell ref="B113:K113"/>
    <mergeCell ref="B109:K109"/>
    <mergeCell ref="B111:K111"/>
    <mergeCell ref="B117:K117"/>
    <mergeCell ref="B119:K119"/>
    <mergeCell ref="B121:K121"/>
    <mergeCell ref="B123:K123"/>
    <mergeCell ref="B127:K127"/>
    <mergeCell ref="B131:K131"/>
    <mergeCell ref="B133:K133"/>
    <mergeCell ref="B137:K137"/>
    <mergeCell ref="B115:K115"/>
    <mergeCell ref="B170:K170"/>
    <mergeCell ref="B172:K172"/>
    <mergeCell ref="B141:K141"/>
    <mergeCell ref="B143:K143"/>
    <mergeCell ref="B145:K145"/>
    <mergeCell ref="B148:K148"/>
    <mergeCell ref="B151:K151"/>
    <mergeCell ref="B153:K153"/>
    <mergeCell ref="B157:K157"/>
    <mergeCell ref="B166:K166"/>
    <mergeCell ref="B168:K168"/>
    <mergeCell ref="B155:K155"/>
    <mergeCell ref="B146:H146"/>
    <mergeCell ref="B149:H149"/>
  </mergeCells>
  <pageMargins left="0.70866141732283472" right="0.70866141732283472" top="0.78740157480314965" bottom="0.78740157480314965" header="0.31496062992125984" footer="0.31496062992125984"/>
  <pageSetup paperSize="9" scale="74" firstPageNumber="27" fitToHeight="9999" orientation="portrait" useFirstPageNumber="1" r:id="rId1"/>
  <headerFooter>
    <oddFooter>&amp;L&amp;"Arial CE,Kurzíva"Zastupitelstvo Olomouckého kraje 16-12-2011
6. - Rozpočet Olomouckého kraje 2012 - návrh rozpočtu 
Příloha č. 3a): Výdaje odborů (kanceláří)&amp;R&amp;"Arial CE,Kurzíva"Strana &amp;P (celkem 167)</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pageSetUpPr fitToPage="1"/>
  </sheetPr>
  <dimension ref="B2:K152"/>
  <sheetViews>
    <sheetView showGridLines="0" view="pageBreakPreview" zoomScaleNormal="100" zoomScaleSheetLayoutView="100" workbookViewId="0">
      <selection activeCell="F135" sqref="F135"/>
    </sheetView>
  </sheetViews>
  <sheetFormatPr defaultRowHeight="12.75" x14ac:dyDescent="0.2"/>
  <cols>
    <col min="1" max="1" width="0.85546875" customWidth="1"/>
    <col min="2" max="3" width="4.7109375" customWidth="1"/>
    <col min="4" max="4" width="9.7109375" customWidth="1"/>
    <col min="5" max="5" width="11.7109375" customWidth="1"/>
    <col min="6" max="6" width="37.7109375" customWidth="1"/>
    <col min="7" max="10" width="10.7109375" customWidth="1"/>
    <col min="11" max="11" width="7.7109375" style="107" customWidth="1"/>
  </cols>
  <sheetData>
    <row r="2" spans="2:11" ht="27.95" customHeight="1" x14ac:dyDescent="0.2">
      <c r="B2" s="267" t="s">
        <v>239</v>
      </c>
      <c r="C2" s="268"/>
      <c r="D2" s="268"/>
      <c r="E2" s="268"/>
      <c r="F2" s="268"/>
      <c r="G2" s="3"/>
      <c r="H2" s="3"/>
      <c r="I2" s="3"/>
      <c r="J2" s="3"/>
      <c r="K2" s="98" t="s">
        <v>240</v>
      </c>
    </row>
    <row r="5" spans="2:11" s="123" customFormat="1" ht="15" x14ac:dyDescent="0.2">
      <c r="B5" s="188" t="s">
        <v>0</v>
      </c>
      <c r="C5" s="188"/>
      <c r="D5" s="188" t="s">
        <v>1</v>
      </c>
      <c r="E5" s="189"/>
      <c r="F5" s="189"/>
      <c r="G5" s="189"/>
      <c r="H5" s="189"/>
      <c r="I5" s="189"/>
      <c r="J5" s="189"/>
      <c r="K5" s="190"/>
    </row>
    <row r="6" spans="2:11" s="123" customFormat="1" ht="15" x14ac:dyDescent="0.2">
      <c r="B6" s="188"/>
      <c r="C6" s="188"/>
      <c r="D6" s="188" t="s">
        <v>2</v>
      </c>
      <c r="E6" s="189"/>
      <c r="F6" s="189"/>
      <c r="G6" s="189"/>
      <c r="H6" s="189"/>
      <c r="I6" s="189"/>
      <c r="J6" s="189"/>
      <c r="K6" s="190"/>
    </row>
    <row r="7" spans="2:11" ht="13.5" thickBot="1" x14ac:dyDescent="0.25">
      <c r="B7" s="5"/>
      <c r="C7" s="5"/>
      <c r="D7" s="5"/>
      <c r="E7" s="5"/>
      <c r="F7" s="5"/>
      <c r="G7" s="5"/>
      <c r="H7" s="5"/>
      <c r="I7" s="5"/>
      <c r="J7" s="5"/>
      <c r="K7" s="99" t="s">
        <v>3</v>
      </c>
    </row>
    <row r="8" spans="2:11" ht="35.1" customHeight="1" x14ac:dyDescent="0.2">
      <c r="B8" s="7" t="s">
        <v>4</v>
      </c>
      <c r="C8" s="8" t="s">
        <v>5</v>
      </c>
      <c r="D8" s="8" t="s">
        <v>6</v>
      </c>
      <c r="E8" s="8" t="s">
        <v>7</v>
      </c>
      <c r="F8" s="6" t="s">
        <v>8</v>
      </c>
      <c r="G8" s="6" t="s">
        <v>9</v>
      </c>
      <c r="H8" s="6" t="s">
        <v>10</v>
      </c>
      <c r="I8" s="6" t="s">
        <v>11</v>
      </c>
      <c r="J8" s="6" t="s">
        <v>12</v>
      </c>
      <c r="K8" s="100" t="s">
        <v>13</v>
      </c>
    </row>
    <row r="9" spans="2:11" ht="13.5" thickBot="1" x14ac:dyDescent="0.25">
      <c r="B9" s="10">
        <v>1</v>
      </c>
      <c r="C9" s="11">
        <v>2</v>
      </c>
      <c r="D9" s="11">
        <v>3</v>
      </c>
      <c r="E9" s="11">
        <v>4</v>
      </c>
      <c r="F9" s="12">
        <v>5</v>
      </c>
      <c r="G9" s="12">
        <v>6</v>
      </c>
      <c r="H9" s="12">
        <v>7</v>
      </c>
      <c r="I9" s="12">
        <v>8</v>
      </c>
      <c r="J9" s="12">
        <v>9</v>
      </c>
      <c r="K9" s="101" t="s">
        <v>14</v>
      </c>
    </row>
    <row r="10" spans="2:11" ht="25.5" x14ac:dyDescent="0.2">
      <c r="B10" s="88">
        <v>6172</v>
      </c>
      <c r="C10" s="89">
        <v>5011</v>
      </c>
      <c r="D10" s="89">
        <v>0</v>
      </c>
      <c r="E10" s="89">
        <v>12000000000</v>
      </c>
      <c r="F10" s="90" t="s">
        <v>36</v>
      </c>
      <c r="G10" s="91">
        <v>173887</v>
      </c>
      <c r="H10" s="91">
        <f>17428251/100</f>
        <v>174282.51</v>
      </c>
      <c r="I10" s="91">
        <f>10709723/100</f>
        <v>107097.23</v>
      </c>
      <c r="J10" s="91">
        <v>170000</v>
      </c>
      <c r="K10" s="113">
        <f>J10/G10*100</f>
        <v>97.764640254878159</v>
      </c>
    </row>
    <row r="11" spans="2:11" ht="15" x14ac:dyDescent="0.2">
      <c r="B11" s="82">
        <v>6172</v>
      </c>
      <c r="C11" s="83">
        <v>5021</v>
      </c>
      <c r="D11" s="83">
        <v>0</v>
      </c>
      <c r="E11" s="83">
        <v>12000000000</v>
      </c>
      <c r="F11" s="84" t="s">
        <v>37</v>
      </c>
      <c r="G11" s="85">
        <v>1500</v>
      </c>
      <c r="H11" s="85">
        <v>1515</v>
      </c>
      <c r="I11" s="85">
        <f>101438/100</f>
        <v>1014.38</v>
      </c>
      <c r="J11" s="85">
        <v>1500</v>
      </c>
      <c r="K11" s="103">
        <f t="shared" ref="K11:K49" si="0">J11/G11*100</f>
        <v>100</v>
      </c>
    </row>
    <row r="12" spans="2:11" ht="15" x14ac:dyDescent="0.2">
      <c r="B12" s="82">
        <v>6172</v>
      </c>
      <c r="C12" s="83">
        <v>5024</v>
      </c>
      <c r="D12" s="83">
        <v>0</v>
      </c>
      <c r="E12" s="83">
        <v>12000000000</v>
      </c>
      <c r="F12" s="84" t="s">
        <v>241</v>
      </c>
      <c r="G12" s="85">
        <v>300</v>
      </c>
      <c r="H12" s="85">
        <v>300</v>
      </c>
      <c r="I12" s="85">
        <v>0</v>
      </c>
      <c r="J12" s="85">
        <v>300</v>
      </c>
      <c r="K12" s="103">
        <f t="shared" si="0"/>
        <v>100</v>
      </c>
    </row>
    <row r="13" spans="2:11" ht="25.5" x14ac:dyDescent="0.2">
      <c r="B13" s="82">
        <v>6172</v>
      </c>
      <c r="C13" s="83">
        <v>5029</v>
      </c>
      <c r="D13" s="83">
        <v>0</v>
      </c>
      <c r="E13" s="83">
        <v>12000000000</v>
      </c>
      <c r="F13" s="84" t="s">
        <v>242</v>
      </c>
      <c r="G13" s="85">
        <v>100</v>
      </c>
      <c r="H13" s="85">
        <v>100</v>
      </c>
      <c r="I13" s="85">
        <v>0</v>
      </c>
      <c r="J13" s="85">
        <v>100</v>
      </c>
      <c r="K13" s="103">
        <f t="shared" si="0"/>
        <v>100</v>
      </c>
    </row>
    <row r="14" spans="2:11" ht="25.5" x14ac:dyDescent="0.2">
      <c r="B14" s="82">
        <v>6172</v>
      </c>
      <c r="C14" s="83">
        <v>5031</v>
      </c>
      <c r="D14" s="83">
        <v>0</v>
      </c>
      <c r="E14" s="83">
        <v>12000000000</v>
      </c>
      <c r="F14" s="84" t="s">
        <v>38</v>
      </c>
      <c r="G14" s="85">
        <v>43472</v>
      </c>
      <c r="H14" s="85">
        <f>4354458/100</f>
        <v>43544.58</v>
      </c>
      <c r="I14" s="85">
        <f>2695635/100</f>
        <v>26956.35</v>
      </c>
      <c r="J14" s="85">
        <v>42500</v>
      </c>
      <c r="K14" s="103">
        <f t="shared" si="0"/>
        <v>97.764078027235925</v>
      </c>
    </row>
    <row r="15" spans="2:11" ht="25.5" x14ac:dyDescent="0.2">
      <c r="B15" s="82">
        <v>6172</v>
      </c>
      <c r="C15" s="83">
        <v>5031</v>
      </c>
      <c r="D15" s="83">
        <v>0</v>
      </c>
      <c r="E15" s="83">
        <v>12000100345</v>
      </c>
      <c r="F15" s="84" t="s">
        <v>38</v>
      </c>
      <c r="G15" s="85">
        <v>0</v>
      </c>
      <c r="H15" s="85">
        <f>4045/100</f>
        <v>40.450000000000003</v>
      </c>
      <c r="I15" s="85">
        <f>1045/100</f>
        <v>10.45</v>
      </c>
      <c r="J15" s="85">
        <v>0</v>
      </c>
      <c r="K15" s="103"/>
    </row>
    <row r="16" spans="2:11" ht="25.5" x14ac:dyDescent="0.2">
      <c r="B16" s="82">
        <v>6172</v>
      </c>
      <c r="C16" s="83">
        <v>5032</v>
      </c>
      <c r="D16" s="83">
        <v>0</v>
      </c>
      <c r="E16" s="83">
        <v>12000000000</v>
      </c>
      <c r="F16" s="84" t="s">
        <v>39</v>
      </c>
      <c r="G16" s="85">
        <v>15650</v>
      </c>
      <c r="H16" s="85">
        <f>1569009/100</f>
        <v>15690.09</v>
      </c>
      <c r="I16" s="85">
        <f>970390/100</f>
        <v>9703.9</v>
      </c>
      <c r="J16" s="85">
        <v>15300</v>
      </c>
      <c r="K16" s="103">
        <f t="shared" si="0"/>
        <v>97.763578274760391</v>
      </c>
    </row>
    <row r="17" spans="2:11" ht="25.5" x14ac:dyDescent="0.2">
      <c r="B17" s="82">
        <v>6172</v>
      </c>
      <c r="C17" s="83">
        <v>5032</v>
      </c>
      <c r="D17" s="83">
        <v>0</v>
      </c>
      <c r="E17" s="83">
        <v>12000100345</v>
      </c>
      <c r="F17" s="84" t="s">
        <v>39</v>
      </c>
      <c r="G17" s="85">
        <v>0</v>
      </c>
      <c r="H17" s="85">
        <f>1376/100</f>
        <v>13.76</v>
      </c>
      <c r="I17" s="85">
        <f>376/100</f>
        <v>3.76</v>
      </c>
      <c r="J17" s="85">
        <v>0</v>
      </c>
      <c r="K17" s="103"/>
    </row>
    <row r="18" spans="2:11" ht="15" x14ac:dyDescent="0.2">
      <c r="B18" s="82">
        <v>6172</v>
      </c>
      <c r="C18" s="83">
        <v>5038</v>
      </c>
      <c r="D18" s="83">
        <v>0</v>
      </c>
      <c r="E18" s="83">
        <v>20003000000</v>
      </c>
      <c r="F18" s="84" t="s">
        <v>243</v>
      </c>
      <c r="G18" s="85">
        <v>730</v>
      </c>
      <c r="H18" s="85">
        <v>750</v>
      </c>
      <c r="I18" s="85">
        <f>55480/100</f>
        <v>554.79999999999995</v>
      </c>
      <c r="J18" s="85">
        <v>750</v>
      </c>
      <c r="K18" s="103">
        <f t="shared" si="0"/>
        <v>102.73972602739727</v>
      </c>
    </row>
    <row r="19" spans="2:11" ht="25.5" x14ac:dyDescent="0.2">
      <c r="B19" s="82">
        <v>6172</v>
      </c>
      <c r="C19" s="83">
        <v>5039</v>
      </c>
      <c r="D19" s="83">
        <v>0</v>
      </c>
      <c r="E19" s="83">
        <v>12000000000</v>
      </c>
      <c r="F19" s="84" t="s">
        <v>143</v>
      </c>
      <c r="G19" s="85">
        <v>50</v>
      </c>
      <c r="H19" s="85">
        <v>50</v>
      </c>
      <c r="I19" s="85">
        <v>0</v>
      </c>
      <c r="J19" s="85">
        <v>50</v>
      </c>
      <c r="K19" s="103">
        <f t="shared" si="0"/>
        <v>100</v>
      </c>
    </row>
    <row r="20" spans="2:11" ht="15" x14ac:dyDescent="0.2">
      <c r="B20" s="82">
        <v>6172</v>
      </c>
      <c r="C20" s="83">
        <v>5134</v>
      </c>
      <c r="D20" s="83">
        <v>0</v>
      </c>
      <c r="E20" s="83">
        <v>12000000000</v>
      </c>
      <c r="F20" s="84" t="s">
        <v>170</v>
      </c>
      <c r="G20" s="85">
        <v>50</v>
      </c>
      <c r="H20" s="85">
        <v>55</v>
      </c>
      <c r="I20" s="85">
        <f>3752/100</f>
        <v>37.520000000000003</v>
      </c>
      <c r="J20" s="85">
        <v>46</v>
      </c>
      <c r="K20" s="103">
        <f t="shared" si="0"/>
        <v>92</v>
      </c>
    </row>
    <row r="21" spans="2:11" s="162" customFormat="1" ht="15" x14ac:dyDescent="0.2">
      <c r="B21" s="170">
        <v>6172</v>
      </c>
      <c r="C21" s="171">
        <v>5136</v>
      </c>
      <c r="D21" s="171">
        <v>0</v>
      </c>
      <c r="E21" s="171">
        <v>12005000000</v>
      </c>
      <c r="F21" s="172" t="s">
        <v>40</v>
      </c>
      <c r="G21" s="173">
        <v>300</v>
      </c>
      <c r="H21" s="173">
        <v>550</v>
      </c>
      <c r="I21" s="173">
        <f>62+163</f>
        <v>225</v>
      </c>
      <c r="J21" s="173">
        <v>500</v>
      </c>
      <c r="K21" s="174">
        <f t="shared" si="0"/>
        <v>166.66666666666669</v>
      </c>
    </row>
    <row r="22" spans="2:11" s="162" customFormat="1" ht="15" x14ac:dyDescent="0.2">
      <c r="B22" s="170">
        <v>6172</v>
      </c>
      <c r="C22" s="171">
        <v>5137</v>
      </c>
      <c r="D22" s="171">
        <v>0</v>
      </c>
      <c r="E22" s="171">
        <v>12000000000</v>
      </c>
      <c r="F22" s="172" t="s">
        <v>49</v>
      </c>
      <c r="G22" s="173">
        <v>600</v>
      </c>
      <c r="H22" s="173">
        <v>600</v>
      </c>
      <c r="I22" s="173">
        <f>40431/100</f>
        <v>404.31</v>
      </c>
      <c r="J22" s="173">
        <v>600</v>
      </c>
      <c r="K22" s="174">
        <f t="shared" si="0"/>
        <v>100</v>
      </c>
    </row>
    <row r="23" spans="2:11" s="162" customFormat="1" ht="15" x14ac:dyDescent="0.2">
      <c r="B23" s="170">
        <v>6172</v>
      </c>
      <c r="C23" s="171">
        <v>5139</v>
      </c>
      <c r="D23" s="171">
        <v>0</v>
      </c>
      <c r="E23" s="171"/>
      <c r="F23" s="172" t="s">
        <v>18</v>
      </c>
      <c r="G23" s="173">
        <f>570+750+700+480</f>
        <v>2500</v>
      </c>
      <c r="H23" s="173">
        <f>915+750+700+480</f>
        <v>2845</v>
      </c>
      <c r="I23" s="173">
        <f>72768/100+447+300+205</f>
        <v>1679.6799999999998</v>
      </c>
      <c r="J23" s="173">
        <f>1000+750+700+480</f>
        <v>2930</v>
      </c>
      <c r="K23" s="174">
        <f t="shared" si="0"/>
        <v>117.19999999999999</v>
      </c>
    </row>
    <row r="24" spans="2:11" s="162" customFormat="1" ht="15" x14ac:dyDescent="0.2">
      <c r="B24" s="170">
        <v>6172</v>
      </c>
      <c r="C24" s="171">
        <v>5151</v>
      </c>
      <c r="D24" s="171">
        <v>0</v>
      </c>
      <c r="E24" s="171"/>
      <c r="F24" s="172" t="s">
        <v>244</v>
      </c>
      <c r="G24" s="173">
        <f>15+200+150+25</f>
        <v>390</v>
      </c>
      <c r="H24" s="173">
        <v>390</v>
      </c>
      <c r="I24" s="173">
        <f>-3+156+139+18</f>
        <v>310</v>
      </c>
      <c r="J24" s="173">
        <v>477</v>
      </c>
      <c r="K24" s="174">
        <f t="shared" si="0"/>
        <v>122.30769230769232</v>
      </c>
    </row>
    <row r="25" spans="2:11" s="162" customFormat="1" ht="15" x14ac:dyDescent="0.2">
      <c r="B25" s="170">
        <v>6172</v>
      </c>
      <c r="C25" s="171">
        <v>5152</v>
      </c>
      <c r="D25" s="171">
        <v>0</v>
      </c>
      <c r="E25" s="171"/>
      <c r="F25" s="172" t="s">
        <v>245</v>
      </c>
      <c r="G25" s="173">
        <v>2900</v>
      </c>
      <c r="H25" s="173">
        <v>2900</v>
      </c>
      <c r="I25" s="173">
        <f>977+861</f>
        <v>1838</v>
      </c>
      <c r="J25" s="173">
        <v>3201</v>
      </c>
      <c r="K25" s="174">
        <f t="shared" si="0"/>
        <v>110.3793103448276</v>
      </c>
    </row>
    <row r="26" spans="2:11" s="162" customFormat="1" ht="15" x14ac:dyDescent="0.2">
      <c r="B26" s="170">
        <v>6172</v>
      </c>
      <c r="C26" s="171">
        <v>5153</v>
      </c>
      <c r="D26" s="171">
        <v>0</v>
      </c>
      <c r="E26" s="171"/>
      <c r="F26" s="172" t="s">
        <v>246</v>
      </c>
      <c r="G26" s="173">
        <f>150+250</f>
        <v>400</v>
      </c>
      <c r="H26" s="173">
        <f>70+176+10</f>
        <v>256</v>
      </c>
      <c r="I26" s="173">
        <f>43+118</f>
        <v>161</v>
      </c>
      <c r="J26" s="173">
        <v>292</v>
      </c>
      <c r="K26" s="174">
        <f t="shared" si="0"/>
        <v>73</v>
      </c>
    </row>
    <row r="27" spans="2:11" s="162" customFormat="1" ht="15" x14ac:dyDescent="0.2">
      <c r="B27" s="170">
        <v>6172</v>
      </c>
      <c r="C27" s="171">
        <v>5154</v>
      </c>
      <c r="D27" s="171">
        <v>0</v>
      </c>
      <c r="E27" s="171"/>
      <c r="F27" s="172" t="s">
        <v>247</v>
      </c>
      <c r="G27" s="173">
        <f>157+2300+1600+50+93</f>
        <v>4200</v>
      </c>
      <c r="H27" s="173">
        <f>157+1900+1600+50+93</f>
        <v>3800</v>
      </c>
      <c r="I27" s="173">
        <f>-12+1295+977+28+62</f>
        <v>2350</v>
      </c>
      <c r="J27" s="173">
        <f>6+2000+1500+100+94</f>
        <v>3700</v>
      </c>
      <c r="K27" s="174">
        <f t="shared" si="0"/>
        <v>88.095238095238088</v>
      </c>
    </row>
    <row r="28" spans="2:11" s="162" customFormat="1" ht="15" x14ac:dyDescent="0.2">
      <c r="B28" s="170">
        <v>6172</v>
      </c>
      <c r="C28" s="171">
        <v>5156</v>
      </c>
      <c r="D28" s="171">
        <v>0</v>
      </c>
      <c r="E28" s="171">
        <v>12000000000</v>
      </c>
      <c r="F28" s="172" t="s">
        <v>248</v>
      </c>
      <c r="G28" s="173">
        <v>1250</v>
      </c>
      <c r="H28" s="173">
        <v>1450</v>
      </c>
      <c r="I28" s="173">
        <f>89828/100</f>
        <v>898.28</v>
      </c>
      <c r="J28" s="173">
        <v>1300</v>
      </c>
      <c r="K28" s="174">
        <f t="shared" si="0"/>
        <v>104</v>
      </c>
    </row>
    <row r="29" spans="2:11" s="162" customFormat="1" ht="15" x14ac:dyDescent="0.2">
      <c r="B29" s="170">
        <v>6172</v>
      </c>
      <c r="C29" s="171">
        <v>5157</v>
      </c>
      <c r="D29" s="171">
        <v>0</v>
      </c>
      <c r="E29" s="171">
        <v>12008000000</v>
      </c>
      <c r="F29" s="172" t="s">
        <v>249</v>
      </c>
      <c r="G29" s="173">
        <v>100</v>
      </c>
      <c r="H29" s="173">
        <v>100</v>
      </c>
      <c r="I29" s="173">
        <f>8587/100</f>
        <v>85.87</v>
      </c>
      <c r="J29" s="173">
        <v>110</v>
      </c>
      <c r="K29" s="174">
        <f t="shared" si="0"/>
        <v>110.00000000000001</v>
      </c>
    </row>
    <row r="30" spans="2:11" s="162" customFormat="1" ht="15" x14ac:dyDescent="0.2">
      <c r="B30" s="170">
        <v>6172</v>
      </c>
      <c r="C30" s="171">
        <v>5159</v>
      </c>
      <c r="D30" s="171">
        <v>0</v>
      </c>
      <c r="E30" s="171">
        <v>12000000000</v>
      </c>
      <c r="F30" s="172" t="s">
        <v>250</v>
      </c>
      <c r="G30" s="173">
        <v>20</v>
      </c>
      <c r="H30" s="173">
        <v>5</v>
      </c>
      <c r="I30" s="173">
        <f>71/100</f>
        <v>0.71</v>
      </c>
      <c r="J30" s="173">
        <v>5</v>
      </c>
      <c r="K30" s="174">
        <f t="shared" si="0"/>
        <v>25</v>
      </c>
    </row>
    <row r="31" spans="2:11" s="162" customFormat="1" ht="15" x14ac:dyDescent="0.2">
      <c r="B31" s="170">
        <v>6172</v>
      </c>
      <c r="C31" s="171">
        <v>5161</v>
      </c>
      <c r="D31" s="171">
        <v>0</v>
      </c>
      <c r="E31" s="171">
        <v>12000000000</v>
      </c>
      <c r="F31" s="172" t="s">
        <v>90</v>
      </c>
      <c r="G31" s="173">
        <v>2000</v>
      </c>
      <c r="H31" s="173">
        <v>1600</v>
      </c>
      <c r="I31" s="173">
        <f>120485/100</f>
        <v>1204.8499999999999</v>
      </c>
      <c r="J31" s="173">
        <v>1600</v>
      </c>
      <c r="K31" s="174">
        <f t="shared" si="0"/>
        <v>80</v>
      </c>
    </row>
    <row r="32" spans="2:11" s="162" customFormat="1" ht="25.5" x14ac:dyDescent="0.2">
      <c r="B32" s="170">
        <v>6172</v>
      </c>
      <c r="C32" s="171">
        <v>5162</v>
      </c>
      <c r="D32" s="171">
        <v>0</v>
      </c>
      <c r="E32" s="171">
        <v>12000000000</v>
      </c>
      <c r="F32" s="172" t="s">
        <v>41</v>
      </c>
      <c r="G32" s="173">
        <v>2780</v>
      </c>
      <c r="H32" s="173">
        <v>1930</v>
      </c>
      <c r="I32" s="173">
        <f>137923/100</f>
        <v>1379.23</v>
      </c>
      <c r="J32" s="173">
        <v>2500</v>
      </c>
      <c r="K32" s="174">
        <f t="shared" si="0"/>
        <v>89.928057553956833</v>
      </c>
    </row>
    <row r="33" spans="2:11" s="162" customFormat="1" ht="15" x14ac:dyDescent="0.2">
      <c r="B33" s="170">
        <v>6172</v>
      </c>
      <c r="C33" s="171">
        <v>5163</v>
      </c>
      <c r="D33" s="171">
        <v>0</v>
      </c>
      <c r="E33" s="171">
        <v>20003000000</v>
      </c>
      <c r="F33" s="172" t="s">
        <v>19</v>
      </c>
      <c r="G33" s="173">
        <v>400</v>
      </c>
      <c r="H33" s="173">
        <v>360</v>
      </c>
      <c r="I33" s="173">
        <f>21475/100</f>
        <v>214.75</v>
      </c>
      <c r="J33" s="173">
        <v>400</v>
      </c>
      <c r="K33" s="174">
        <f t="shared" si="0"/>
        <v>100</v>
      </c>
    </row>
    <row r="34" spans="2:11" s="162" customFormat="1" ht="15" x14ac:dyDescent="0.2">
      <c r="B34" s="170">
        <v>6172</v>
      </c>
      <c r="C34" s="171">
        <v>5164</v>
      </c>
      <c r="D34" s="171">
        <v>0</v>
      </c>
      <c r="E34" s="171"/>
      <c r="F34" s="172" t="s">
        <v>20</v>
      </c>
      <c r="G34" s="173">
        <f>1500+16000</f>
        <v>17500</v>
      </c>
      <c r="H34" s="173">
        <f>98266/100+15917+217</f>
        <v>17116.66</v>
      </c>
      <c r="I34" s="173">
        <f>51460/100+11938+163</f>
        <v>12615.6</v>
      </c>
      <c r="J34" s="173">
        <f>1282+16000+218</f>
        <v>17500</v>
      </c>
      <c r="K34" s="174">
        <f t="shared" si="0"/>
        <v>100</v>
      </c>
    </row>
    <row r="35" spans="2:11" s="162" customFormat="1" ht="25.5" x14ac:dyDescent="0.2">
      <c r="B35" s="170">
        <v>6172</v>
      </c>
      <c r="C35" s="171">
        <v>5166</v>
      </c>
      <c r="D35" s="171">
        <v>0</v>
      </c>
      <c r="E35" s="171">
        <v>12000000000</v>
      </c>
      <c r="F35" s="172" t="s">
        <v>42</v>
      </c>
      <c r="G35" s="173">
        <v>200</v>
      </c>
      <c r="H35" s="173">
        <v>200</v>
      </c>
      <c r="I35" s="173">
        <f>9541/100</f>
        <v>95.41</v>
      </c>
      <c r="J35" s="173">
        <v>200</v>
      </c>
      <c r="K35" s="174">
        <f t="shared" si="0"/>
        <v>100</v>
      </c>
    </row>
    <row r="36" spans="2:11" s="162" customFormat="1" ht="15" x14ac:dyDescent="0.2">
      <c r="B36" s="170">
        <v>6172</v>
      </c>
      <c r="C36" s="171">
        <v>5167</v>
      </c>
      <c r="D36" s="171">
        <v>0</v>
      </c>
      <c r="E36" s="171">
        <v>12000000000</v>
      </c>
      <c r="F36" s="172" t="s">
        <v>43</v>
      </c>
      <c r="G36" s="173">
        <v>3000</v>
      </c>
      <c r="H36" s="173">
        <v>2950</v>
      </c>
      <c r="I36" s="173">
        <f>170324/100</f>
        <v>1703.24</v>
      </c>
      <c r="J36" s="173">
        <v>2500</v>
      </c>
      <c r="K36" s="174">
        <f t="shared" si="0"/>
        <v>83.333333333333343</v>
      </c>
    </row>
    <row r="37" spans="2:11" s="162" customFormat="1" ht="15" x14ac:dyDescent="0.2">
      <c r="B37" s="170">
        <v>6172</v>
      </c>
      <c r="C37" s="171">
        <v>5169</v>
      </c>
      <c r="D37" s="171">
        <v>0</v>
      </c>
      <c r="E37" s="171"/>
      <c r="F37" s="172" t="s">
        <v>15</v>
      </c>
      <c r="G37" s="173">
        <f>11687+1584+189</f>
        <v>13460</v>
      </c>
      <c r="H37" s="173">
        <f>11090+1584+189</f>
        <v>12863</v>
      </c>
      <c r="I37" s="173">
        <f>809759/100+1181+113</f>
        <v>9391.59</v>
      </c>
      <c r="J37" s="173">
        <f>11994+1620+126</f>
        <v>13740</v>
      </c>
      <c r="K37" s="174">
        <f t="shared" si="0"/>
        <v>102.08023774145616</v>
      </c>
    </row>
    <row r="38" spans="2:11" s="162" customFormat="1" ht="15" x14ac:dyDescent="0.2">
      <c r="B38" s="170">
        <v>6172</v>
      </c>
      <c r="C38" s="171">
        <v>5171</v>
      </c>
      <c r="D38" s="171">
        <v>0</v>
      </c>
      <c r="E38" s="171"/>
      <c r="F38" s="172" t="s">
        <v>55</v>
      </c>
      <c r="G38" s="173">
        <v>4000</v>
      </c>
      <c r="H38" s="173">
        <v>2600</v>
      </c>
      <c r="I38" s="173">
        <f>1147+259</f>
        <v>1406</v>
      </c>
      <c r="J38" s="173">
        <v>4000</v>
      </c>
      <c r="K38" s="174">
        <f t="shared" si="0"/>
        <v>100</v>
      </c>
    </row>
    <row r="39" spans="2:11" s="162" customFormat="1" ht="15" x14ac:dyDescent="0.2">
      <c r="B39" s="170">
        <v>6172</v>
      </c>
      <c r="C39" s="171">
        <v>5173</v>
      </c>
      <c r="D39" s="171">
        <v>0</v>
      </c>
      <c r="E39" s="171"/>
      <c r="F39" s="172" t="s">
        <v>44</v>
      </c>
      <c r="G39" s="173">
        <v>3500</v>
      </c>
      <c r="H39" s="173">
        <v>3260</v>
      </c>
      <c r="I39" s="173">
        <f>1163+200</f>
        <v>1363</v>
      </c>
      <c r="J39" s="173">
        <v>3000</v>
      </c>
      <c r="K39" s="174">
        <f t="shared" si="0"/>
        <v>85.714285714285708</v>
      </c>
    </row>
    <row r="40" spans="2:11" s="162" customFormat="1" ht="15" x14ac:dyDescent="0.2">
      <c r="B40" s="170">
        <v>6172</v>
      </c>
      <c r="C40" s="171">
        <v>5175</v>
      </c>
      <c r="D40" s="171">
        <v>0</v>
      </c>
      <c r="E40" s="171">
        <v>12000000000</v>
      </c>
      <c r="F40" s="172" t="s">
        <v>21</v>
      </c>
      <c r="G40" s="173">
        <v>500</v>
      </c>
      <c r="H40" s="173">
        <v>500</v>
      </c>
      <c r="I40" s="173">
        <f>22738/100</f>
        <v>227.38</v>
      </c>
      <c r="J40" s="173">
        <v>500</v>
      </c>
      <c r="K40" s="174">
        <f t="shared" si="0"/>
        <v>100</v>
      </c>
    </row>
    <row r="41" spans="2:11" s="162" customFormat="1" ht="15" x14ac:dyDescent="0.2">
      <c r="B41" s="170">
        <v>6172</v>
      </c>
      <c r="C41" s="171">
        <v>5176</v>
      </c>
      <c r="D41" s="171">
        <v>0</v>
      </c>
      <c r="E41" s="171">
        <v>12000000000</v>
      </c>
      <c r="F41" s="172" t="s">
        <v>45</v>
      </c>
      <c r="G41" s="173">
        <v>150</v>
      </c>
      <c r="H41" s="173">
        <v>200</v>
      </c>
      <c r="I41" s="173">
        <f>18428/100</f>
        <v>184.28</v>
      </c>
      <c r="J41" s="173">
        <v>200</v>
      </c>
      <c r="K41" s="174">
        <f t="shared" si="0"/>
        <v>133.33333333333331</v>
      </c>
    </row>
    <row r="42" spans="2:11" s="162" customFormat="1" ht="15" x14ac:dyDescent="0.2">
      <c r="B42" s="170">
        <v>6172</v>
      </c>
      <c r="C42" s="171">
        <v>5182</v>
      </c>
      <c r="D42" s="171">
        <v>0</v>
      </c>
      <c r="E42" s="171">
        <v>0</v>
      </c>
      <c r="F42" s="172" t="s">
        <v>22</v>
      </c>
      <c r="G42" s="173">
        <v>0</v>
      </c>
      <c r="H42" s="173">
        <v>0</v>
      </c>
      <c r="I42" s="173">
        <f>73+2+36</f>
        <v>111</v>
      </c>
      <c r="J42" s="173">
        <v>0</v>
      </c>
      <c r="K42" s="174"/>
    </row>
    <row r="43" spans="2:11" s="162" customFormat="1" ht="15" x14ac:dyDescent="0.2">
      <c r="B43" s="170">
        <v>6172</v>
      </c>
      <c r="C43" s="171">
        <v>5189</v>
      </c>
      <c r="D43" s="171">
        <v>0</v>
      </c>
      <c r="E43" s="171">
        <v>0</v>
      </c>
      <c r="F43" s="172" t="s">
        <v>23</v>
      </c>
      <c r="G43" s="173">
        <v>20</v>
      </c>
      <c r="H43" s="173">
        <v>0</v>
      </c>
      <c r="I43" s="173">
        <v>115</v>
      </c>
      <c r="J43" s="173">
        <v>20</v>
      </c>
      <c r="K43" s="174">
        <f t="shared" si="0"/>
        <v>100</v>
      </c>
    </row>
    <row r="44" spans="2:11" s="162" customFormat="1" ht="25.5" x14ac:dyDescent="0.2">
      <c r="B44" s="170">
        <v>6172</v>
      </c>
      <c r="C44" s="171">
        <v>5192</v>
      </c>
      <c r="D44" s="171">
        <v>0</v>
      </c>
      <c r="E44" s="171">
        <v>12000000000</v>
      </c>
      <c r="F44" s="172" t="s">
        <v>63</v>
      </c>
      <c r="G44" s="173">
        <v>20</v>
      </c>
      <c r="H44" s="173">
        <v>120</v>
      </c>
      <c r="I44" s="173">
        <v>49</v>
      </c>
      <c r="J44" s="173">
        <v>20</v>
      </c>
      <c r="K44" s="174">
        <f t="shared" si="0"/>
        <v>100</v>
      </c>
    </row>
    <row r="45" spans="2:11" s="162" customFormat="1" ht="15" x14ac:dyDescent="0.2">
      <c r="B45" s="170">
        <v>6172</v>
      </c>
      <c r="C45" s="171">
        <v>5194</v>
      </c>
      <c r="D45" s="171">
        <v>0</v>
      </c>
      <c r="E45" s="171">
        <v>12000000000</v>
      </c>
      <c r="F45" s="172" t="s">
        <v>24</v>
      </c>
      <c r="G45" s="173">
        <v>20</v>
      </c>
      <c r="H45" s="173">
        <v>0</v>
      </c>
      <c r="I45" s="173">
        <v>0</v>
      </c>
      <c r="J45" s="173">
        <v>20</v>
      </c>
      <c r="K45" s="174">
        <f t="shared" si="0"/>
        <v>100</v>
      </c>
    </row>
    <row r="46" spans="2:11" s="162" customFormat="1" ht="15" x14ac:dyDescent="0.2">
      <c r="B46" s="170">
        <v>6172</v>
      </c>
      <c r="C46" s="171">
        <v>5323</v>
      </c>
      <c r="D46" s="171">
        <v>0</v>
      </c>
      <c r="E46" s="171">
        <v>30104000000</v>
      </c>
      <c r="F46" s="172" t="s">
        <v>251</v>
      </c>
      <c r="G46" s="173">
        <v>65</v>
      </c>
      <c r="H46" s="173">
        <v>40</v>
      </c>
      <c r="I46" s="173">
        <f>3930/100</f>
        <v>39.299999999999997</v>
      </c>
      <c r="J46" s="173">
        <v>70</v>
      </c>
      <c r="K46" s="174">
        <f t="shared" si="0"/>
        <v>107.69230769230769</v>
      </c>
    </row>
    <row r="47" spans="2:11" s="162" customFormat="1" ht="15" x14ac:dyDescent="0.2">
      <c r="B47" s="170">
        <v>6172</v>
      </c>
      <c r="C47" s="171">
        <v>5361</v>
      </c>
      <c r="D47" s="171">
        <v>0</v>
      </c>
      <c r="E47" s="171">
        <v>12000000000</v>
      </c>
      <c r="F47" s="172" t="s">
        <v>253</v>
      </c>
      <c r="G47" s="173">
        <v>100</v>
      </c>
      <c r="H47" s="173">
        <v>100</v>
      </c>
      <c r="I47" s="173">
        <v>59</v>
      </c>
      <c r="J47" s="173">
        <v>100</v>
      </c>
      <c r="K47" s="174">
        <f t="shared" si="0"/>
        <v>100</v>
      </c>
    </row>
    <row r="48" spans="2:11" s="162" customFormat="1" ht="25.5" x14ac:dyDescent="0.2">
      <c r="B48" s="170">
        <v>6172</v>
      </c>
      <c r="C48" s="171">
        <v>5362</v>
      </c>
      <c r="D48" s="171">
        <v>0</v>
      </c>
      <c r="E48" s="171">
        <v>12000000000</v>
      </c>
      <c r="F48" s="172" t="s">
        <v>66</v>
      </c>
      <c r="G48" s="173">
        <v>50</v>
      </c>
      <c r="H48" s="173">
        <v>50</v>
      </c>
      <c r="I48" s="173">
        <f>795/100</f>
        <v>7.95</v>
      </c>
      <c r="J48" s="173">
        <v>50</v>
      </c>
      <c r="K48" s="174">
        <f t="shared" si="0"/>
        <v>100</v>
      </c>
    </row>
    <row r="49" spans="2:11" s="162" customFormat="1" ht="15" x14ac:dyDescent="0.2">
      <c r="B49" s="170">
        <v>6172</v>
      </c>
      <c r="C49" s="171">
        <v>5424</v>
      </c>
      <c r="D49" s="171">
        <v>0</v>
      </c>
      <c r="E49" s="171">
        <v>12000000000</v>
      </c>
      <c r="F49" s="172" t="s">
        <v>254</v>
      </c>
      <c r="G49" s="173">
        <v>1000</v>
      </c>
      <c r="H49" s="173">
        <v>1000</v>
      </c>
      <c r="I49" s="173">
        <f>66915/100</f>
        <v>669.15</v>
      </c>
      <c r="J49" s="173">
        <v>1000</v>
      </c>
      <c r="K49" s="174">
        <f t="shared" si="0"/>
        <v>100</v>
      </c>
    </row>
    <row r="50" spans="2:11" s="162" customFormat="1" ht="26.25" thickBot="1" x14ac:dyDescent="0.25">
      <c r="B50" s="176">
        <v>6330</v>
      </c>
      <c r="C50" s="177">
        <v>5342</v>
      </c>
      <c r="D50" s="177">
        <v>0</v>
      </c>
      <c r="E50" s="177">
        <v>12000000000</v>
      </c>
      <c r="F50" s="178" t="s">
        <v>252</v>
      </c>
      <c r="G50" s="179">
        <v>6086</v>
      </c>
      <c r="H50" s="179">
        <v>6086</v>
      </c>
      <c r="I50" s="179">
        <f>389650/100</f>
        <v>3896.5</v>
      </c>
      <c r="J50" s="173">
        <v>5950</v>
      </c>
      <c r="K50" s="174">
        <f>J50/G50*100</f>
        <v>97.765363128491629</v>
      </c>
    </row>
    <row r="51" spans="2:11" ht="15.75" thickBot="1" x14ac:dyDescent="0.25">
      <c r="B51" s="18" t="s">
        <v>25</v>
      </c>
      <c r="C51" s="19"/>
      <c r="D51" s="19"/>
      <c r="E51" s="19"/>
      <c r="F51" s="20"/>
      <c r="G51" s="21">
        <f>SUM(G10:G50)</f>
        <v>303250</v>
      </c>
      <c r="H51" s="21">
        <f t="shared" ref="H51:J51" si="1">SUM(H10:H50)</f>
        <v>300213.05000000005</v>
      </c>
      <c r="I51" s="21">
        <f t="shared" si="1"/>
        <v>188063.46999999997</v>
      </c>
      <c r="J51" s="21">
        <f t="shared" si="1"/>
        <v>297031</v>
      </c>
      <c r="K51" s="106">
        <f>J51/G51*100</f>
        <v>97.949216817807098</v>
      </c>
    </row>
    <row r="52" spans="2:11" x14ac:dyDescent="0.2">
      <c r="F52" s="1"/>
      <c r="G52" s="1"/>
      <c r="H52" s="1"/>
      <c r="I52" s="1"/>
      <c r="J52" s="1"/>
    </row>
    <row r="53" spans="2:11" s="123" customFormat="1" ht="15.75" thickBot="1" x14ac:dyDescent="0.25">
      <c r="B53" s="22" t="s">
        <v>256</v>
      </c>
      <c r="C53" s="22"/>
      <c r="D53" s="22"/>
      <c r="E53" s="22"/>
      <c r="F53" s="23"/>
      <c r="G53" s="23"/>
      <c r="H53" s="24"/>
      <c r="I53" s="24"/>
      <c r="J53" s="24">
        <v>170000</v>
      </c>
      <c r="K53" s="108" t="s">
        <v>27</v>
      </c>
    </row>
    <row r="54" spans="2:11" s="123" customFormat="1" ht="15.75" customHeight="1" thickTop="1" x14ac:dyDescent="0.2">
      <c r="B54" s="265" t="s">
        <v>675</v>
      </c>
      <c r="C54" s="266"/>
      <c r="D54" s="266"/>
      <c r="E54" s="266"/>
      <c r="F54" s="266"/>
      <c r="G54" s="266"/>
      <c r="H54" s="266"/>
      <c r="I54" s="266"/>
      <c r="J54" s="266"/>
      <c r="K54" s="266"/>
    </row>
    <row r="55" spans="2:11" s="123" customFormat="1" ht="15.75" customHeight="1" x14ac:dyDescent="0.2">
      <c r="B55" s="280"/>
      <c r="C55" s="280"/>
      <c r="D55" s="280"/>
      <c r="E55" s="280"/>
      <c r="F55" s="280"/>
      <c r="G55" s="280"/>
      <c r="H55" s="280"/>
      <c r="I55" s="280"/>
      <c r="J55" s="280"/>
      <c r="K55" s="280"/>
    </row>
    <row r="56" spans="2:11" s="123" customFormat="1" ht="15.75" customHeight="1" x14ac:dyDescent="0.2">
      <c r="B56" s="280"/>
      <c r="C56" s="280"/>
      <c r="D56" s="280"/>
      <c r="E56" s="280"/>
      <c r="F56" s="280"/>
      <c r="G56" s="280"/>
      <c r="H56" s="280"/>
      <c r="I56" s="280"/>
      <c r="J56" s="280"/>
      <c r="K56" s="280"/>
    </row>
    <row r="57" spans="2:11" s="123" customFormat="1" ht="15.75" customHeight="1" x14ac:dyDescent="0.2">
      <c r="B57" s="280"/>
      <c r="C57" s="280"/>
      <c r="D57" s="280"/>
      <c r="E57" s="280"/>
      <c r="F57" s="280"/>
      <c r="G57" s="280"/>
      <c r="H57" s="280"/>
      <c r="I57" s="280"/>
      <c r="J57" s="280"/>
      <c r="K57" s="280"/>
    </row>
    <row r="58" spans="2:11" s="123" customFormat="1" ht="15.75" customHeight="1" x14ac:dyDescent="0.2">
      <c r="B58" s="212"/>
      <c r="C58" s="212"/>
      <c r="D58" s="212"/>
      <c r="E58" s="212"/>
      <c r="F58" s="212"/>
      <c r="G58" s="212"/>
      <c r="H58" s="212"/>
      <c r="I58" s="212"/>
      <c r="J58" s="212"/>
      <c r="K58" s="212"/>
    </row>
    <row r="59" spans="2:11" s="123" customFormat="1" ht="15.75" thickBot="1" x14ac:dyDescent="0.25">
      <c r="B59" s="22" t="s">
        <v>50</v>
      </c>
      <c r="C59" s="22"/>
      <c r="D59" s="22"/>
      <c r="E59" s="22"/>
      <c r="F59" s="23"/>
      <c r="G59" s="23"/>
      <c r="H59" s="24"/>
      <c r="I59" s="24"/>
      <c r="J59" s="24">
        <v>1500</v>
      </c>
      <c r="K59" s="108" t="s">
        <v>27</v>
      </c>
    </row>
    <row r="60" spans="2:11" s="123" customFormat="1" ht="84" customHeight="1" thickTop="1" x14ac:dyDescent="0.2">
      <c r="B60" s="271" t="s">
        <v>569</v>
      </c>
      <c r="C60" s="272"/>
      <c r="D60" s="272"/>
      <c r="E60" s="272"/>
      <c r="F60" s="272"/>
      <c r="G60" s="272"/>
      <c r="H60" s="272"/>
      <c r="I60" s="272"/>
      <c r="J60" s="272"/>
      <c r="K60" s="272"/>
    </row>
    <row r="61" spans="2:11" s="123" customFormat="1" ht="15.75" thickBot="1" x14ac:dyDescent="0.25">
      <c r="B61" s="22" t="s">
        <v>257</v>
      </c>
      <c r="C61" s="22"/>
      <c r="D61" s="22"/>
      <c r="E61" s="22"/>
      <c r="F61" s="23"/>
      <c r="G61" s="23"/>
      <c r="H61" s="24"/>
      <c r="I61" s="24"/>
      <c r="J61" s="24">
        <v>300</v>
      </c>
      <c r="K61" s="108" t="s">
        <v>27</v>
      </c>
    </row>
    <row r="62" spans="2:11" s="123" customFormat="1" ht="12.95" customHeight="1" thickTop="1" x14ac:dyDescent="0.2">
      <c r="B62" s="283"/>
      <c r="C62" s="270"/>
      <c r="D62" s="270"/>
      <c r="E62" s="270"/>
      <c r="F62" s="270"/>
      <c r="G62" s="270"/>
      <c r="H62" s="270"/>
      <c r="I62" s="270"/>
      <c r="J62" s="270"/>
      <c r="K62" s="270"/>
    </row>
    <row r="63" spans="2:11" s="123" customFormat="1" ht="15.75" thickBot="1" x14ac:dyDescent="0.25">
      <c r="B63" s="22" t="s">
        <v>258</v>
      </c>
      <c r="C63" s="22"/>
      <c r="D63" s="22"/>
      <c r="E63" s="22"/>
      <c r="F63" s="23"/>
      <c r="G63" s="23"/>
      <c r="H63" s="24"/>
      <c r="I63" s="24"/>
      <c r="J63" s="24">
        <v>100</v>
      </c>
      <c r="K63" s="108" t="s">
        <v>27</v>
      </c>
    </row>
    <row r="64" spans="2:11" s="123" customFormat="1" ht="12.95" customHeight="1" thickTop="1" x14ac:dyDescent="0.2">
      <c r="B64" s="283"/>
      <c r="C64" s="270"/>
      <c r="D64" s="270"/>
      <c r="E64" s="270"/>
      <c r="F64" s="270"/>
      <c r="G64" s="270"/>
      <c r="H64" s="270"/>
      <c r="I64" s="270"/>
      <c r="J64" s="270"/>
      <c r="K64" s="270"/>
    </row>
    <row r="65" spans="2:11" s="123" customFormat="1" ht="15.75" thickBot="1" x14ac:dyDescent="0.25">
      <c r="B65" s="22" t="s">
        <v>259</v>
      </c>
      <c r="C65" s="22"/>
      <c r="D65" s="22"/>
      <c r="E65" s="22"/>
      <c r="F65" s="23"/>
      <c r="G65" s="23"/>
      <c r="H65" s="24"/>
      <c r="I65" s="24"/>
      <c r="J65" s="24">
        <v>42500</v>
      </c>
      <c r="K65" s="108" t="s">
        <v>27</v>
      </c>
    </row>
    <row r="66" spans="2:11" s="123" customFormat="1" ht="40.5" customHeight="1" thickTop="1" x14ac:dyDescent="0.2">
      <c r="B66" s="269" t="s">
        <v>617</v>
      </c>
      <c r="C66" s="270"/>
      <c r="D66" s="270"/>
      <c r="E66" s="270"/>
      <c r="F66" s="270"/>
      <c r="G66" s="270"/>
      <c r="H66" s="270"/>
      <c r="I66" s="270"/>
      <c r="J66" s="270"/>
      <c r="K66" s="270"/>
    </row>
    <row r="67" spans="2:11" s="123" customFormat="1" ht="15.75" thickBot="1" x14ac:dyDescent="0.25">
      <c r="B67" s="22" t="s">
        <v>260</v>
      </c>
      <c r="C67" s="22"/>
      <c r="D67" s="22"/>
      <c r="E67" s="22"/>
      <c r="F67" s="23"/>
      <c r="G67" s="23"/>
      <c r="H67" s="24"/>
      <c r="I67" s="24"/>
      <c r="J67" s="24">
        <v>15300</v>
      </c>
      <c r="K67" s="108" t="s">
        <v>27</v>
      </c>
    </row>
    <row r="68" spans="2:11" s="123" customFormat="1" ht="42" customHeight="1" thickTop="1" x14ac:dyDescent="0.2">
      <c r="B68" s="269" t="s">
        <v>618</v>
      </c>
      <c r="C68" s="270"/>
      <c r="D68" s="270"/>
      <c r="E68" s="270"/>
      <c r="F68" s="270"/>
      <c r="G68" s="270"/>
      <c r="H68" s="270"/>
      <c r="I68" s="270"/>
      <c r="J68" s="270"/>
      <c r="K68" s="270"/>
    </row>
    <row r="69" spans="2:11" s="123" customFormat="1" ht="15.75" thickBot="1" x14ac:dyDescent="0.25">
      <c r="B69" s="22" t="s">
        <v>261</v>
      </c>
      <c r="C69" s="22"/>
      <c r="D69" s="22"/>
      <c r="E69" s="22"/>
      <c r="F69" s="23"/>
      <c r="G69" s="23"/>
      <c r="H69" s="24"/>
      <c r="I69" s="24"/>
      <c r="J69" s="24">
        <v>750</v>
      </c>
      <c r="K69" s="108" t="s">
        <v>27</v>
      </c>
    </row>
    <row r="70" spans="2:11" s="123" customFormat="1" ht="58.5" customHeight="1" thickTop="1" x14ac:dyDescent="0.2">
      <c r="B70" s="265" t="s">
        <v>619</v>
      </c>
      <c r="C70" s="266"/>
      <c r="D70" s="266"/>
      <c r="E70" s="266"/>
      <c r="F70" s="266"/>
      <c r="G70" s="266"/>
      <c r="H70" s="266"/>
      <c r="I70" s="266"/>
      <c r="J70" s="266"/>
      <c r="K70" s="266"/>
    </row>
    <row r="71" spans="2:11" s="123" customFormat="1" ht="15.75" thickBot="1" x14ac:dyDescent="0.25">
      <c r="B71" s="22" t="s">
        <v>262</v>
      </c>
      <c r="C71" s="22"/>
      <c r="D71" s="22"/>
      <c r="E71" s="22"/>
      <c r="F71" s="23"/>
      <c r="G71" s="23"/>
      <c r="H71" s="24"/>
      <c r="I71" s="24"/>
      <c r="J71" s="24">
        <v>50</v>
      </c>
      <c r="K71" s="108" t="s">
        <v>27</v>
      </c>
    </row>
    <row r="72" spans="2:11" s="123" customFormat="1" ht="12.95" customHeight="1" thickTop="1" x14ac:dyDescent="0.2">
      <c r="B72" s="269" t="s">
        <v>370</v>
      </c>
      <c r="C72" s="270"/>
      <c r="D72" s="270"/>
      <c r="E72" s="270"/>
      <c r="F72" s="270"/>
      <c r="G72" s="270"/>
      <c r="H72" s="270"/>
      <c r="I72" s="270"/>
      <c r="J72" s="270"/>
      <c r="K72" s="270"/>
    </row>
    <row r="73" spans="2:11" s="123" customFormat="1" ht="15.75" thickBot="1" x14ac:dyDescent="0.25">
      <c r="B73" s="22" t="s">
        <v>263</v>
      </c>
      <c r="C73" s="22"/>
      <c r="D73" s="22"/>
      <c r="E73" s="22"/>
      <c r="F73" s="23"/>
      <c r="G73" s="23"/>
      <c r="H73" s="24"/>
      <c r="I73" s="24"/>
      <c r="J73" s="24">
        <v>46</v>
      </c>
      <c r="K73" s="108" t="s">
        <v>27</v>
      </c>
    </row>
    <row r="74" spans="2:11" s="123" customFormat="1" ht="52.5" customHeight="1" thickTop="1" x14ac:dyDescent="0.2">
      <c r="B74" s="265" t="s">
        <v>489</v>
      </c>
      <c r="C74" s="266"/>
      <c r="D74" s="266"/>
      <c r="E74" s="266"/>
      <c r="F74" s="266"/>
      <c r="G74" s="266"/>
      <c r="H74" s="266"/>
      <c r="I74" s="266"/>
      <c r="J74" s="266"/>
      <c r="K74" s="266"/>
    </row>
    <row r="75" spans="2:11" s="123" customFormat="1" ht="15.75" thickBot="1" x14ac:dyDescent="0.25">
      <c r="B75" s="22" t="s">
        <v>264</v>
      </c>
      <c r="C75" s="22"/>
      <c r="D75" s="22"/>
      <c r="E75" s="22"/>
      <c r="F75" s="23"/>
      <c r="G75" s="23"/>
      <c r="H75" s="24"/>
      <c r="I75" s="24"/>
      <c r="J75" s="161">
        <v>500</v>
      </c>
      <c r="K75" s="108" t="s">
        <v>27</v>
      </c>
    </row>
    <row r="76" spans="2:11" s="123" customFormat="1" ht="39" customHeight="1" thickTop="1" x14ac:dyDescent="0.2">
      <c r="B76" s="286" t="s">
        <v>564</v>
      </c>
      <c r="C76" s="287"/>
      <c r="D76" s="287"/>
      <c r="E76" s="287"/>
      <c r="F76" s="287"/>
      <c r="G76" s="287"/>
      <c r="H76" s="287"/>
      <c r="I76" s="287"/>
      <c r="J76" s="287"/>
      <c r="K76" s="287"/>
    </row>
    <row r="77" spans="2:11" s="123" customFormat="1" ht="15.75" thickBot="1" x14ac:dyDescent="0.25">
      <c r="B77" s="22" t="s">
        <v>227</v>
      </c>
      <c r="C77" s="22"/>
      <c r="D77" s="22"/>
      <c r="E77" s="22"/>
      <c r="F77" s="23"/>
      <c r="G77" s="23"/>
      <c r="H77" s="24"/>
      <c r="I77" s="24"/>
      <c r="J77" s="24">
        <v>600</v>
      </c>
      <c r="K77" s="108" t="s">
        <v>27</v>
      </c>
    </row>
    <row r="78" spans="2:11" s="123" customFormat="1" ht="44.25" customHeight="1" thickTop="1" x14ac:dyDescent="0.2">
      <c r="B78" s="271" t="s">
        <v>620</v>
      </c>
      <c r="C78" s="272"/>
      <c r="D78" s="272"/>
      <c r="E78" s="272"/>
      <c r="F78" s="272"/>
      <c r="G78" s="272"/>
      <c r="H78" s="272"/>
      <c r="I78" s="272"/>
      <c r="J78" s="272"/>
      <c r="K78" s="272"/>
    </row>
    <row r="79" spans="2:11" s="198" customFormat="1" ht="15.75" thickBot="1" x14ac:dyDescent="0.25">
      <c r="B79" s="159" t="s">
        <v>228</v>
      </c>
      <c r="C79" s="159"/>
      <c r="D79" s="159"/>
      <c r="E79" s="159"/>
      <c r="F79" s="160"/>
      <c r="G79" s="160"/>
      <c r="H79" s="161"/>
      <c r="I79" s="161"/>
      <c r="J79" s="161">
        <v>2930</v>
      </c>
      <c r="K79" s="175" t="s">
        <v>27</v>
      </c>
    </row>
    <row r="80" spans="2:11" s="198" customFormat="1" ht="88.5" customHeight="1" thickTop="1" x14ac:dyDescent="0.2">
      <c r="B80" s="284" t="s">
        <v>565</v>
      </c>
      <c r="C80" s="285"/>
      <c r="D80" s="285"/>
      <c r="E80" s="285"/>
      <c r="F80" s="285"/>
      <c r="G80" s="285"/>
      <c r="H80" s="285"/>
      <c r="I80" s="285"/>
      <c r="J80" s="285"/>
      <c r="K80" s="285"/>
    </row>
    <row r="81" spans="2:11" s="198" customFormat="1" ht="15.75" thickBot="1" x14ac:dyDescent="0.25">
      <c r="B81" s="159" t="s">
        <v>265</v>
      </c>
      <c r="C81" s="159"/>
      <c r="D81" s="159"/>
      <c r="E81" s="159"/>
      <c r="F81" s="160"/>
      <c r="G81" s="160"/>
      <c r="H81" s="161"/>
      <c r="I81" s="161"/>
      <c r="J81" s="161">
        <v>477</v>
      </c>
      <c r="K81" s="175" t="s">
        <v>27</v>
      </c>
    </row>
    <row r="82" spans="2:11" s="198" customFormat="1" ht="97.5" customHeight="1" thickTop="1" x14ac:dyDescent="0.2">
      <c r="B82" s="284" t="s">
        <v>566</v>
      </c>
      <c r="C82" s="284"/>
      <c r="D82" s="284"/>
      <c r="E82" s="284"/>
      <c r="F82" s="284"/>
      <c r="G82" s="284"/>
      <c r="H82" s="284"/>
      <c r="I82" s="284"/>
      <c r="J82" s="284"/>
      <c r="K82" s="284"/>
    </row>
    <row r="83" spans="2:11" s="198" customFormat="1" ht="15.75" thickBot="1" x14ac:dyDescent="0.25">
      <c r="B83" s="159" t="s">
        <v>266</v>
      </c>
      <c r="C83" s="159"/>
      <c r="D83" s="159"/>
      <c r="E83" s="159"/>
      <c r="F83" s="160"/>
      <c r="G83" s="160"/>
      <c r="H83" s="161"/>
      <c r="I83" s="161"/>
      <c r="J83" s="161">
        <v>3201</v>
      </c>
      <c r="K83" s="175" t="s">
        <v>27</v>
      </c>
    </row>
    <row r="84" spans="2:11" s="198" customFormat="1" ht="71.25" customHeight="1" thickTop="1" x14ac:dyDescent="0.2">
      <c r="B84" s="284" t="s">
        <v>634</v>
      </c>
      <c r="C84" s="285"/>
      <c r="D84" s="285"/>
      <c r="E84" s="285"/>
      <c r="F84" s="285"/>
      <c r="G84" s="285"/>
      <c r="H84" s="285"/>
      <c r="I84" s="285"/>
      <c r="J84" s="285"/>
      <c r="K84" s="285"/>
    </row>
    <row r="85" spans="2:11" s="198" customFormat="1" ht="15.75" thickBot="1" x14ac:dyDescent="0.25">
      <c r="B85" s="159" t="s">
        <v>267</v>
      </c>
      <c r="C85" s="159"/>
      <c r="D85" s="159"/>
      <c r="E85" s="159"/>
      <c r="F85" s="160"/>
      <c r="G85" s="160"/>
      <c r="H85" s="161"/>
      <c r="I85" s="161"/>
      <c r="J85" s="161">
        <v>292</v>
      </c>
      <c r="K85" s="175" t="s">
        <v>27</v>
      </c>
    </row>
    <row r="86" spans="2:11" s="198" customFormat="1" ht="61.5" customHeight="1" thickTop="1" x14ac:dyDescent="0.2">
      <c r="B86" s="284" t="s">
        <v>567</v>
      </c>
      <c r="C86" s="285"/>
      <c r="D86" s="285"/>
      <c r="E86" s="285"/>
      <c r="F86" s="285"/>
      <c r="G86" s="285"/>
      <c r="H86" s="285"/>
      <c r="I86" s="285"/>
      <c r="J86" s="285"/>
      <c r="K86" s="285"/>
    </row>
    <row r="87" spans="2:11" s="198" customFormat="1" ht="16.5" customHeight="1" x14ac:dyDescent="0.2">
      <c r="B87" s="201"/>
      <c r="C87" s="202"/>
      <c r="D87" s="202"/>
      <c r="E87" s="202"/>
      <c r="F87" s="202"/>
      <c r="G87" s="202"/>
      <c r="H87" s="202"/>
      <c r="I87" s="202"/>
      <c r="J87" s="202"/>
      <c r="K87" s="202"/>
    </row>
    <row r="88" spans="2:11" s="198" customFormat="1" ht="16.5" customHeight="1" x14ac:dyDescent="0.2">
      <c r="B88" s="201"/>
      <c r="C88" s="202"/>
      <c r="D88" s="202"/>
      <c r="E88" s="202"/>
      <c r="F88" s="202"/>
      <c r="G88" s="202"/>
      <c r="H88" s="202"/>
      <c r="I88" s="202"/>
      <c r="J88" s="202"/>
      <c r="K88" s="202"/>
    </row>
    <row r="89" spans="2:11" s="198" customFormat="1" ht="16.5" customHeight="1" x14ac:dyDescent="0.2">
      <c r="B89" s="201"/>
      <c r="C89" s="202"/>
      <c r="D89" s="202"/>
      <c r="E89" s="202"/>
      <c r="F89" s="202"/>
      <c r="G89" s="202"/>
      <c r="H89" s="202"/>
      <c r="I89" s="202"/>
      <c r="J89" s="202"/>
      <c r="K89" s="202"/>
    </row>
    <row r="90" spans="2:11" s="198" customFormat="1" ht="15.75" thickBot="1" x14ac:dyDescent="0.25">
      <c r="B90" s="159" t="s">
        <v>268</v>
      </c>
      <c r="C90" s="159"/>
      <c r="D90" s="159"/>
      <c r="E90" s="159"/>
      <c r="F90" s="160"/>
      <c r="G90" s="160"/>
      <c r="H90" s="161"/>
      <c r="I90" s="161"/>
      <c r="J90" s="161">
        <v>3700</v>
      </c>
      <c r="K90" s="175" t="s">
        <v>27</v>
      </c>
    </row>
    <row r="91" spans="2:11" s="198" customFormat="1" ht="127.5" customHeight="1" thickTop="1" x14ac:dyDescent="0.2">
      <c r="B91" s="284" t="s">
        <v>635</v>
      </c>
      <c r="C91" s="285"/>
      <c r="D91" s="285"/>
      <c r="E91" s="285"/>
      <c r="F91" s="285"/>
      <c r="G91" s="285"/>
      <c r="H91" s="285"/>
      <c r="I91" s="285"/>
      <c r="J91" s="285"/>
      <c r="K91" s="285"/>
    </row>
    <row r="92" spans="2:11" s="198" customFormat="1" ht="15.75" thickBot="1" x14ac:dyDescent="0.25">
      <c r="B92" s="159" t="s">
        <v>269</v>
      </c>
      <c r="C92" s="159"/>
      <c r="D92" s="159"/>
      <c r="E92" s="159"/>
      <c r="F92" s="160"/>
      <c r="G92" s="160"/>
      <c r="H92" s="161"/>
      <c r="I92" s="161"/>
      <c r="J92" s="161">
        <v>1300</v>
      </c>
      <c r="K92" s="175" t="s">
        <v>27</v>
      </c>
    </row>
    <row r="93" spans="2:11" s="198" customFormat="1" ht="24.75" customHeight="1" thickTop="1" x14ac:dyDescent="0.2">
      <c r="B93" s="284" t="s">
        <v>371</v>
      </c>
      <c r="C93" s="285"/>
      <c r="D93" s="285"/>
      <c r="E93" s="285"/>
      <c r="F93" s="285"/>
      <c r="G93" s="285"/>
      <c r="H93" s="285"/>
      <c r="I93" s="285"/>
      <c r="J93" s="285"/>
      <c r="K93" s="285"/>
    </row>
    <row r="94" spans="2:11" s="198" customFormat="1" ht="15.75" thickBot="1" x14ac:dyDescent="0.25">
      <c r="B94" s="159" t="s">
        <v>270</v>
      </c>
      <c r="C94" s="159"/>
      <c r="D94" s="159"/>
      <c r="E94" s="159"/>
      <c r="F94" s="160"/>
      <c r="G94" s="160"/>
      <c r="H94" s="161"/>
      <c r="I94" s="161"/>
      <c r="J94" s="161">
        <v>110</v>
      </c>
      <c r="K94" s="175" t="s">
        <v>27</v>
      </c>
    </row>
    <row r="95" spans="2:11" s="198" customFormat="1" ht="39.75" customHeight="1" thickTop="1" x14ac:dyDescent="0.2">
      <c r="B95" s="288" t="s">
        <v>407</v>
      </c>
      <c r="C95" s="289"/>
      <c r="D95" s="289"/>
      <c r="E95" s="289"/>
      <c r="F95" s="289"/>
      <c r="G95" s="289"/>
      <c r="H95" s="289"/>
      <c r="I95" s="289"/>
      <c r="J95" s="289"/>
      <c r="K95" s="289"/>
    </row>
    <row r="96" spans="2:11" s="198" customFormat="1" ht="15.75" thickBot="1" x14ac:dyDescent="0.25">
      <c r="B96" s="159" t="s">
        <v>271</v>
      </c>
      <c r="C96" s="159"/>
      <c r="D96" s="159"/>
      <c r="E96" s="159"/>
      <c r="F96" s="160"/>
      <c r="G96" s="160"/>
      <c r="H96" s="161"/>
      <c r="I96" s="161"/>
      <c r="J96" s="161">
        <v>5</v>
      </c>
      <c r="K96" s="175" t="s">
        <v>27</v>
      </c>
    </row>
    <row r="97" spans="2:11" s="198" customFormat="1" ht="23.1" customHeight="1" thickTop="1" x14ac:dyDescent="0.2">
      <c r="B97" s="284" t="s">
        <v>408</v>
      </c>
      <c r="C97" s="285"/>
      <c r="D97" s="285"/>
      <c r="E97" s="285"/>
      <c r="F97" s="285"/>
      <c r="G97" s="285"/>
      <c r="H97" s="285"/>
      <c r="I97" s="285"/>
      <c r="J97" s="285"/>
      <c r="K97" s="285"/>
    </row>
    <row r="98" spans="2:11" s="198" customFormat="1" ht="15.75" thickBot="1" x14ac:dyDescent="0.25">
      <c r="B98" s="159" t="s">
        <v>137</v>
      </c>
      <c r="C98" s="159"/>
      <c r="D98" s="159"/>
      <c r="E98" s="159"/>
      <c r="F98" s="160"/>
      <c r="G98" s="160"/>
      <c r="H98" s="161"/>
      <c r="I98" s="161"/>
      <c r="J98" s="161">
        <v>1600</v>
      </c>
      <c r="K98" s="175" t="s">
        <v>27</v>
      </c>
    </row>
    <row r="99" spans="2:11" s="198" customFormat="1" ht="21.95" customHeight="1" thickTop="1" x14ac:dyDescent="0.2">
      <c r="B99" s="284" t="s">
        <v>409</v>
      </c>
      <c r="C99" s="285"/>
      <c r="D99" s="285"/>
      <c r="E99" s="285"/>
      <c r="F99" s="285"/>
      <c r="G99" s="285"/>
      <c r="H99" s="285"/>
      <c r="I99" s="285"/>
      <c r="J99" s="285"/>
      <c r="K99" s="285"/>
    </row>
    <row r="100" spans="2:11" s="198" customFormat="1" ht="15.75" thickBot="1" x14ac:dyDescent="0.25">
      <c r="B100" s="159" t="s">
        <v>272</v>
      </c>
      <c r="C100" s="159"/>
      <c r="D100" s="159"/>
      <c r="E100" s="159"/>
      <c r="F100" s="160"/>
      <c r="G100" s="160"/>
      <c r="H100" s="161"/>
      <c r="I100" s="161"/>
      <c r="J100" s="161">
        <v>2500</v>
      </c>
      <c r="K100" s="175" t="s">
        <v>27</v>
      </c>
    </row>
    <row r="101" spans="2:11" s="198" customFormat="1" ht="128.25" customHeight="1" thickTop="1" x14ac:dyDescent="0.2">
      <c r="B101" s="288" t="s">
        <v>636</v>
      </c>
      <c r="C101" s="289"/>
      <c r="D101" s="289"/>
      <c r="E101" s="289"/>
      <c r="F101" s="289"/>
      <c r="G101" s="289"/>
      <c r="H101" s="289"/>
      <c r="I101" s="289"/>
      <c r="J101" s="289"/>
      <c r="K101" s="289"/>
    </row>
    <row r="102" spans="2:11" s="198" customFormat="1" ht="15.75" thickBot="1" x14ac:dyDescent="0.25">
      <c r="B102" s="159" t="s">
        <v>28</v>
      </c>
      <c r="C102" s="159"/>
      <c r="D102" s="159"/>
      <c r="E102" s="159"/>
      <c r="F102" s="160"/>
      <c r="G102" s="160"/>
      <c r="H102" s="161"/>
      <c r="I102" s="161"/>
      <c r="J102" s="161">
        <v>400</v>
      </c>
      <c r="K102" s="175" t="s">
        <v>27</v>
      </c>
    </row>
    <row r="103" spans="2:11" s="198" customFormat="1" ht="95.25" customHeight="1" thickTop="1" x14ac:dyDescent="0.2">
      <c r="B103" s="288" t="s">
        <v>410</v>
      </c>
      <c r="C103" s="289"/>
      <c r="D103" s="289"/>
      <c r="E103" s="289"/>
      <c r="F103" s="289"/>
      <c r="G103" s="289"/>
      <c r="H103" s="289"/>
      <c r="I103" s="289"/>
      <c r="J103" s="289"/>
      <c r="K103" s="289"/>
    </row>
    <row r="104" spans="2:11" s="198" customFormat="1" ht="15.75" thickBot="1" x14ac:dyDescent="0.25">
      <c r="B104" s="159" t="s">
        <v>68</v>
      </c>
      <c r="C104" s="159"/>
      <c r="D104" s="159"/>
      <c r="E104" s="159"/>
      <c r="F104" s="160"/>
      <c r="G104" s="160"/>
      <c r="H104" s="161"/>
      <c r="I104" s="161"/>
      <c r="J104" s="161">
        <v>17500</v>
      </c>
      <c r="K104" s="175" t="s">
        <v>27</v>
      </c>
    </row>
    <row r="105" spans="2:11" s="198" customFormat="1" ht="153" customHeight="1" thickTop="1" x14ac:dyDescent="0.2">
      <c r="B105" s="284" t="s">
        <v>568</v>
      </c>
      <c r="C105" s="285"/>
      <c r="D105" s="285"/>
      <c r="E105" s="285"/>
      <c r="F105" s="285"/>
      <c r="G105" s="285"/>
      <c r="H105" s="285"/>
      <c r="I105" s="285"/>
      <c r="J105" s="285"/>
      <c r="K105" s="285"/>
    </row>
    <row r="106" spans="2:11" s="198" customFormat="1" ht="15.75" thickBot="1" x14ac:dyDescent="0.25">
      <c r="B106" s="159" t="s">
        <v>51</v>
      </c>
      <c r="C106" s="159"/>
      <c r="D106" s="159"/>
      <c r="E106" s="159"/>
      <c r="F106" s="160"/>
      <c r="G106" s="160"/>
      <c r="H106" s="161"/>
      <c r="I106" s="161"/>
      <c r="J106" s="161">
        <v>200</v>
      </c>
      <c r="K106" s="175" t="s">
        <v>27</v>
      </c>
    </row>
    <row r="107" spans="2:11" s="198" customFormat="1" ht="75" customHeight="1" thickTop="1" x14ac:dyDescent="0.2">
      <c r="B107" s="288" t="s">
        <v>411</v>
      </c>
      <c r="C107" s="289"/>
      <c r="D107" s="289"/>
      <c r="E107" s="289"/>
      <c r="F107" s="289"/>
      <c r="G107" s="289"/>
      <c r="H107" s="289"/>
      <c r="I107" s="289"/>
      <c r="J107" s="289"/>
      <c r="K107" s="289"/>
    </row>
    <row r="108" spans="2:11" s="198" customFormat="1" ht="15.75" thickBot="1" x14ac:dyDescent="0.25">
      <c r="B108" s="159" t="s">
        <v>273</v>
      </c>
      <c r="C108" s="159"/>
      <c r="D108" s="159"/>
      <c r="E108" s="159"/>
      <c r="F108" s="160"/>
      <c r="G108" s="160"/>
      <c r="H108" s="161"/>
      <c r="I108" s="161"/>
      <c r="J108" s="161">
        <v>2500</v>
      </c>
      <c r="K108" s="175" t="s">
        <v>27</v>
      </c>
    </row>
    <row r="109" spans="2:11" s="198" customFormat="1" ht="58.5" customHeight="1" thickTop="1" x14ac:dyDescent="0.2">
      <c r="B109" s="288" t="s">
        <v>412</v>
      </c>
      <c r="C109" s="289"/>
      <c r="D109" s="289"/>
      <c r="E109" s="289"/>
      <c r="F109" s="289"/>
      <c r="G109" s="289"/>
      <c r="H109" s="289"/>
      <c r="I109" s="289"/>
      <c r="J109" s="289"/>
      <c r="K109" s="289"/>
    </row>
    <row r="110" spans="2:11" s="198" customFormat="1" ht="16.5" customHeight="1" x14ac:dyDescent="0.2">
      <c r="B110" s="199"/>
      <c r="C110" s="200"/>
      <c r="D110" s="200"/>
      <c r="E110" s="200"/>
      <c r="F110" s="200"/>
      <c r="G110" s="200"/>
      <c r="H110" s="200"/>
      <c r="I110" s="200"/>
      <c r="J110" s="200"/>
      <c r="K110" s="200"/>
    </row>
    <row r="111" spans="2:11" s="198" customFormat="1" ht="16.5" customHeight="1" x14ac:dyDescent="0.2">
      <c r="B111" s="199"/>
      <c r="C111" s="200"/>
      <c r="D111" s="200"/>
      <c r="E111" s="200"/>
      <c r="F111" s="200"/>
      <c r="G111" s="200"/>
      <c r="H111" s="200"/>
      <c r="I111" s="200"/>
      <c r="J111" s="200"/>
      <c r="K111" s="200"/>
    </row>
    <row r="112" spans="2:11" s="198" customFormat="1" ht="16.5" customHeight="1" x14ac:dyDescent="0.2">
      <c r="B112" s="199"/>
      <c r="C112" s="200"/>
      <c r="D112" s="200"/>
      <c r="E112" s="200"/>
      <c r="F112" s="200"/>
      <c r="G112" s="200"/>
      <c r="H112" s="200"/>
      <c r="I112" s="200"/>
      <c r="J112" s="200"/>
      <c r="K112" s="200"/>
    </row>
    <row r="113" spans="2:11" s="198" customFormat="1" ht="16.5" customHeight="1" x14ac:dyDescent="0.2">
      <c r="B113" s="199"/>
      <c r="C113" s="200"/>
      <c r="D113" s="200"/>
      <c r="E113" s="200"/>
      <c r="F113" s="200"/>
      <c r="G113" s="200"/>
      <c r="H113" s="200"/>
      <c r="I113" s="200"/>
      <c r="J113" s="200"/>
      <c r="K113" s="200"/>
    </row>
    <row r="114" spans="2:11" s="198" customFormat="1" ht="16.5" customHeight="1" x14ac:dyDescent="0.2">
      <c r="B114" s="199"/>
      <c r="C114" s="200"/>
      <c r="D114" s="200"/>
      <c r="E114" s="200"/>
      <c r="F114" s="200"/>
      <c r="G114" s="200"/>
      <c r="H114" s="200"/>
      <c r="I114" s="200"/>
      <c r="J114" s="200"/>
      <c r="K114" s="200"/>
    </row>
    <row r="115" spans="2:11" s="198" customFormat="1" ht="16.5" customHeight="1" x14ac:dyDescent="0.2">
      <c r="B115" s="199"/>
      <c r="C115" s="200"/>
      <c r="D115" s="200"/>
      <c r="E115" s="200"/>
      <c r="F115" s="200"/>
      <c r="G115" s="200"/>
      <c r="H115" s="200"/>
      <c r="I115" s="200"/>
      <c r="J115" s="200"/>
      <c r="K115" s="200"/>
    </row>
    <row r="116" spans="2:11" s="198" customFormat="1" ht="15.75" thickBot="1" x14ac:dyDescent="0.25">
      <c r="B116" s="159" t="s">
        <v>29</v>
      </c>
      <c r="C116" s="159"/>
      <c r="D116" s="159"/>
      <c r="E116" s="159"/>
      <c r="F116" s="160"/>
      <c r="G116" s="160"/>
      <c r="H116" s="161"/>
      <c r="I116" s="161"/>
      <c r="J116" s="161">
        <v>13740</v>
      </c>
      <c r="K116" s="175" t="s">
        <v>27</v>
      </c>
    </row>
    <row r="117" spans="2:11" s="198" customFormat="1" ht="409.5" customHeight="1" thickTop="1" x14ac:dyDescent="0.2">
      <c r="B117" s="284" t="s">
        <v>621</v>
      </c>
      <c r="C117" s="285"/>
      <c r="D117" s="285"/>
      <c r="E117" s="285"/>
      <c r="F117" s="285"/>
      <c r="G117" s="285"/>
      <c r="H117" s="285"/>
      <c r="I117" s="285"/>
      <c r="J117" s="285"/>
      <c r="K117" s="285"/>
    </row>
    <row r="118" spans="2:11" s="198" customFormat="1" ht="15.75" thickBot="1" x14ac:dyDescent="0.25">
      <c r="B118" s="159" t="s">
        <v>230</v>
      </c>
      <c r="C118" s="159"/>
      <c r="D118" s="159"/>
      <c r="E118" s="159"/>
      <c r="F118" s="160"/>
      <c r="G118" s="160"/>
      <c r="H118" s="161"/>
      <c r="I118" s="161"/>
      <c r="J118" s="161">
        <v>4000</v>
      </c>
      <c r="K118" s="175" t="s">
        <v>27</v>
      </c>
    </row>
    <row r="119" spans="2:11" s="198" customFormat="1" ht="237" customHeight="1" thickTop="1" x14ac:dyDescent="0.2">
      <c r="B119" s="284" t="s">
        <v>633</v>
      </c>
      <c r="C119" s="285"/>
      <c r="D119" s="285"/>
      <c r="E119" s="285"/>
      <c r="F119" s="285"/>
      <c r="G119" s="285"/>
      <c r="H119" s="285"/>
      <c r="I119" s="285"/>
      <c r="J119" s="285"/>
      <c r="K119" s="285"/>
    </row>
    <row r="120" spans="2:11" s="198" customFormat="1" ht="15.75" thickBot="1" x14ac:dyDescent="0.25">
      <c r="B120" s="159" t="s">
        <v>274</v>
      </c>
      <c r="C120" s="159"/>
      <c r="D120" s="159"/>
      <c r="E120" s="159"/>
      <c r="F120" s="160"/>
      <c r="G120" s="160"/>
      <c r="H120" s="161"/>
      <c r="I120" s="161"/>
      <c r="J120" s="161">
        <v>3000</v>
      </c>
      <c r="K120" s="175" t="s">
        <v>27</v>
      </c>
    </row>
    <row r="121" spans="2:11" s="198" customFormat="1" ht="41.25" customHeight="1" thickTop="1" x14ac:dyDescent="0.2">
      <c r="B121" s="288" t="s">
        <v>490</v>
      </c>
      <c r="C121" s="289"/>
      <c r="D121" s="289"/>
      <c r="E121" s="289"/>
      <c r="F121" s="289"/>
      <c r="G121" s="289"/>
      <c r="H121" s="289"/>
      <c r="I121" s="289"/>
      <c r="J121" s="289"/>
      <c r="K121" s="289"/>
    </row>
    <row r="122" spans="2:11" s="198" customFormat="1" ht="15.75" thickBot="1" x14ac:dyDescent="0.25">
      <c r="B122" s="159" t="s">
        <v>30</v>
      </c>
      <c r="C122" s="159"/>
      <c r="D122" s="159"/>
      <c r="E122" s="159"/>
      <c r="F122" s="160"/>
      <c r="G122" s="160"/>
      <c r="H122" s="161"/>
      <c r="I122" s="161"/>
      <c r="J122" s="161">
        <v>500</v>
      </c>
      <c r="K122" s="175" t="s">
        <v>27</v>
      </c>
    </row>
    <row r="123" spans="2:11" s="198" customFormat="1" ht="21" customHeight="1" thickTop="1" x14ac:dyDescent="0.2">
      <c r="B123" s="284" t="s">
        <v>641</v>
      </c>
      <c r="C123" s="285"/>
      <c r="D123" s="285"/>
      <c r="E123" s="285"/>
      <c r="F123" s="285"/>
      <c r="G123" s="285"/>
      <c r="H123" s="285"/>
      <c r="I123" s="285"/>
      <c r="J123" s="285"/>
      <c r="K123" s="285"/>
    </row>
    <row r="124" spans="2:11" s="198" customFormat="1" ht="15.75" thickBot="1" x14ac:dyDescent="0.25">
      <c r="B124" s="159" t="s">
        <v>275</v>
      </c>
      <c r="C124" s="159"/>
      <c r="D124" s="159"/>
      <c r="E124" s="159"/>
      <c r="F124" s="160"/>
      <c r="G124" s="160"/>
      <c r="H124" s="161"/>
      <c r="I124" s="161"/>
      <c r="J124" s="161">
        <v>200</v>
      </c>
      <c r="K124" s="175" t="s">
        <v>27</v>
      </c>
    </row>
    <row r="125" spans="2:11" s="198" customFormat="1" ht="24.95" customHeight="1" thickTop="1" x14ac:dyDescent="0.2">
      <c r="B125" s="284" t="s">
        <v>372</v>
      </c>
      <c r="C125" s="285"/>
      <c r="D125" s="285"/>
      <c r="E125" s="285"/>
      <c r="F125" s="285"/>
      <c r="G125" s="285"/>
      <c r="H125" s="285"/>
      <c r="I125" s="285"/>
      <c r="J125" s="285"/>
      <c r="K125" s="285"/>
    </row>
    <row r="126" spans="2:11" s="198" customFormat="1" ht="15.75" thickBot="1" x14ac:dyDescent="0.25">
      <c r="B126" s="159" t="s">
        <v>276</v>
      </c>
      <c r="C126" s="159"/>
      <c r="D126" s="159"/>
      <c r="E126" s="159"/>
      <c r="F126" s="160"/>
      <c r="G126" s="160"/>
      <c r="H126" s="161"/>
      <c r="I126" s="161"/>
      <c r="J126" s="161">
        <v>20</v>
      </c>
      <c r="K126" s="175" t="s">
        <v>27</v>
      </c>
    </row>
    <row r="127" spans="2:11" s="198" customFormat="1" ht="27" customHeight="1" thickTop="1" x14ac:dyDescent="0.2">
      <c r="B127" s="284" t="s">
        <v>642</v>
      </c>
      <c r="C127" s="285"/>
      <c r="D127" s="285"/>
      <c r="E127" s="285"/>
      <c r="F127" s="285"/>
      <c r="G127" s="285"/>
      <c r="H127" s="285"/>
      <c r="I127" s="285"/>
      <c r="J127" s="285"/>
      <c r="K127" s="285"/>
    </row>
    <row r="128" spans="2:11" s="198" customFormat="1" ht="15.75" thickBot="1" x14ac:dyDescent="0.25">
      <c r="B128" s="159" t="s">
        <v>77</v>
      </c>
      <c r="C128" s="159"/>
      <c r="D128" s="159"/>
      <c r="E128" s="159"/>
      <c r="F128" s="160"/>
      <c r="G128" s="160"/>
      <c r="H128" s="161"/>
      <c r="I128" s="161"/>
      <c r="J128" s="161">
        <v>20</v>
      </c>
      <c r="K128" s="175" t="s">
        <v>27</v>
      </c>
    </row>
    <row r="129" spans="2:11" s="198" customFormat="1" ht="20.100000000000001" customHeight="1" thickTop="1" x14ac:dyDescent="0.2">
      <c r="B129" s="284" t="s">
        <v>643</v>
      </c>
      <c r="C129" s="285"/>
      <c r="D129" s="285"/>
      <c r="E129" s="285"/>
      <c r="F129" s="285"/>
      <c r="G129" s="285"/>
      <c r="H129" s="285"/>
      <c r="I129" s="285"/>
      <c r="J129" s="285"/>
      <c r="K129" s="285"/>
    </row>
    <row r="130" spans="2:11" s="198" customFormat="1" ht="15.75" thickBot="1" x14ac:dyDescent="0.25">
      <c r="B130" s="159" t="s">
        <v>277</v>
      </c>
      <c r="C130" s="159"/>
      <c r="D130" s="159"/>
      <c r="E130" s="159"/>
      <c r="F130" s="160"/>
      <c r="G130" s="160"/>
      <c r="H130" s="161"/>
      <c r="I130" s="161"/>
      <c r="J130" s="161">
        <v>20</v>
      </c>
      <c r="K130" s="175" t="s">
        <v>27</v>
      </c>
    </row>
    <row r="131" spans="2:11" s="198" customFormat="1" ht="37.5" customHeight="1" thickTop="1" x14ac:dyDescent="0.2">
      <c r="B131" s="288" t="s">
        <v>644</v>
      </c>
      <c r="C131" s="289"/>
      <c r="D131" s="289"/>
      <c r="E131" s="289"/>
      <c r="F131" s="289"/>
      <c r="G131" s="289"/>
      <c r="H131" s="289"/>
      <c r="I131" s="289"/>
      <c r="J131" s="289"/>
      <c r="K131" s="289"/>
    </row>
    <row r="132" spans="2:11" s="198" customFormat="1" ht="15.75" thickBot="1" x14ac:dyDescent="0.25">
      <c r="B132" s="159" t="s">
        <v>278</v>
      </c>
      <c r="C132" s="159"/>
      <c r="D132" s="159"/>
      <c r="E132" s="159"/>
      <c r="F132" s="160"/>
      <c r="G132" s="160"/>
      <c r="H132" s="161"/>
      <c r="I132" s="161"/>
      <c r="J132" s="161">
        <v>70</v>
      </c>
      <c r="K132" s="175" t="s">
        <v>27</v>
      </c>
    </row>
    <row r="133" spans="2:11" s="198" customFormat="1" ht="24" customHeight="1" thickTop="1" x14ac:dyDescent="0.2">
      <c r="B133" s="284" t="s">
        <v>645</v>
      </c>
      <c r="C133" s="285"/>
      <c r="D133" s="285"/>
      <c r="E133" s="285"/>
      <c r="F133" s="285"/>
      <c r="G133" s="285"/>
      <c r="H133" s="285"/>
      <c r="I133" s="285"/>
      <c r="J133" s="285"/>
      <c r="K133" s="285"/>
    </row>
    <row r="134" spans="2:11" s="198" customFormat="1" ht="24" customHeight="1" x14ac:dyDescent="0.2">
      <c r="B134" s="201"/>
      <c r="C134" s="202"/>
      <c r="D134" s="202"/>
      <c r="E134" s="202"/>
      <c r="F134" s="202"/>
      <c r="G134" s="202"/>
      <c r="H134" s="202"/>
      <c r="I134" s="202"/>
      <c r="J134" s="202"/>
      <c r="K134" s="202"/>
    </row>
    <row r="135" spans="2:11" s="198" customFormat="1" ht="15.75" thickBot="1" x14ac:dyDescent="0.25">
      <c r="B135" s="159" t="s">
        <v>279</v>
      </c>
      <c r="C135" s="159"/>
      <c r="D135" s="159"/>
      <c r="E135" s="159"/>
      <c r="F135" s="160"/>
      <c r="G135" s="160"/>
      <c r="H135" s="161"/>
      <c r="I135" s="161"/>
      <c r="J135" s="161">
        <v>100</v>
      </c>
      <c r="K135" s="175" t="s">
        <v>27</v>
      </c>
    </row>
    <row r="136" spans="2:11" s="198" customFormat="1" ht="21" customHeight="1" thickTop="1" x14ac:dyDescent="0.2">
      <c r="B136" s="284" t="s">
        <v>646</v>
      </c>
      <c r="C136" s="285"/>
      <c r="D136" s="285"/>
      <c r="E136" s="285"/>
      <c r="F136" s="285"/>
      <c r="G136" s="285"/>
      <c r="H136" s="285"/>
      <c r="I136" s="285"/>
      <c r="J136" s="285"/>
      <c r="K136" s="285"/>
    </row>
    <row r="137" spans="2:11" s="198" customFormat="1" ht="15.75" thickBot="1" x14ac:dyDescent="0.25">
      <c r="B137" s="159" t="s">
        <v>69</v>
      </c>
      <c r="C137" s="159"/>
      <c r="D137" s="159"/>
      <c r="E137" s="159"/>
      <c r="F137" s="160"/>
      <c r="G137" s="160"/>
      <c r="H137" s="161"/>
      <c r="I137" s="161"/>
      <c r="J137" s="161">
        <v>50</v>
      </c>
      <c r="K137" s="175" t="s">
        <v>27</v>
      </c>
    </row>
    <row r="138" spans="2:11" s="198" customFormat="1" ht="26.1" customHeight="1" thickTop="1" x14ac:dyDescent="0.2">
      <c r="B138" s="284" t="s">
        <v>647</v>
      </c>
      <c r="C138" s="285"/>
      <c r="D138" s="285"/>
      <c r="E138" s="285"/>
      <c r="F138" s="285"/>
      <c r="G138" s="285"/>
      <c r="H138" s="285"/>
      <c r="I138" s="285"/>
      <c r="J138" s="285"/>
      <c r="K138" s="285"/>
    </row>
    <row r="139" spans="2:11" s="198" customFormat="1" ht="15.75" thickBot="1" x14ac:dyDescent="0.25">
      <c r="B139" s="159" t="s">
        <v>280</v>
      </c>
      <c r="C139" s="159"/>
      <c r="D139" s="159"/>
      <c r="E139" s="159"/>
      <c r="F139" s="160"/>
      <c r="G139" s="160"/>
      <c r="H139" s="161"/>
      <c r="I139" s="161"/>
      <c r="J139" s="161">
        <v>1000</v>
      </c>
      <c r="K139" s="175" t="s">
        <v>27</v>
      </c>
    </row>
    <row r="140" spans="2:11" s="198" customFormat="1" ht="23.25" customHeight="1" thickTop="1" x14ac:dyDescent="0.2">
      <c r="B140" s="284" t="s">
        <v>373</v>
      </c>
      <c r="C140" s="285"/>
      <c r="D140" s="285"/>
      <c r="E140" s="285"/>
      <c r="F140" s="285"/>
      <c r="G140" s="285"/>
      <c r="H140" s="285"/>
      <c r="I140" s="285"/>
      <c r="J140" s="285"/>
      <c r="K140" s="285"/>
    </row>
    <row r="141" spans="2:11" s="198" customFormat="1" ht="15.75" thickBot="1" x14ac:dyDescent="0.25">
      <c r="B141" s="159" t="s">
        <v>281</v>
      </c>
      <c r="C141" s="159"/>
      <c r="D141" s="159"/>
      <c r="E141" s="159"/>
      <c r="F141" s="160"/>
      <c r="G141" s="160"/>
      <c r="H141" s="161"/>
      <c r="I141" s="161"/>
      <c r="J141" s="161">
        <v>5950</v>
      </c>
      <c r="K141" s="175" t="s">
        <v>27</v>
      </c>
    </row>
    <row r="142" spans="2:11" s="198" customFormat="1" ht="30" customHeight="1" thickTop="1" x14ac:dyDescent="0.2">
      <c r="B142" s="284" t="s">
        <v>374</v>
      </c>
      <c r="C142" s="285"/>
      <c r="D142" s="285"/>
      <c r="E142" s="285"/>
      <c r="F142" s="285"/>
      <c r="G142" s="285"/>
      <c r="H142" s="285"/>
      <c r="I142" s="285"/>
      <c r="J142" s="285"/>
      <c r="K142" s="285"/>
    </row>
    <row r="143" spans="2:11" s="198" customFormat="1" ht="14.25" x14ac:dyDescent="0.2">
      <c r="K143" s="203"/>
    </row>
    <row r="144" spans="2:11" s="198" customFormat="1" ht="14.25" x14ac:dyDescent="0.2">
      <c r="K144" s="203"/>
    </row>
    <row r="145" spans="11:11" s="198" customFormat="1" ht="14.25" x14ac:dyDescent="0.2">
      <c r="K145" s="203"/>
    </row>
    <row r="146" spans="11:11" s="198" customFormat="1" ht="14.25" x14ac:dyDescent="0.2">
      <c r="K146" s="203"/>
    </row>
    <row r="147" spans="11:11" s="198" customFormat="1" ht="14.25" x14ac:dyDescent="0.2">
      <c r="K147" s="203"/>
    </row>
    <row r="148" spans="11:11" s="123" customFormat="1" ht="14.25" x14ac:dyDescent="0.2">
      <c r="K148" s="186"/>
    </row>
    <row r="149" spans="11:11" s="123" customFormat="1" ht="14.25" x14ac:dyDescent="0.2">
      <c r="K149" s="186"/>
    </row>
    <row r="150" spans="11:11" s="123" customFormat="1" ht="14.25" x14ac:dyDescent="0.2">
      <c r="K150" s="186"/>
    </row>
    <row r="151" spans="11:11" s="123" customFormat="1" ht="14.25" x14ac:dyDescent="0.2">
      <c r="K151" s="186"/>
    </row>
    <row r="152" spans="11:11" s="123" customFormat="1" ht="14.25" x14ac:dyDescent="0.2">
      <c r="K152" s="186"/>
    </row>
  </sheetData>
  <mergeCells count="39">
    <mergeCell ref="B121:K121"/>
    <mergeCell ref="B138:K138"/>
    <mergeCell ref="B140:K140"/>
    <mergeCell ref="B123:K123"/>
    <mergeCell ref="B142:K142"/>
    <mergeCell ref="B125:K125"/>
    <mergeCell ref="B127:K127"/>
    <mergeCell ref="B129:K129"/>
    <mergeCell ref="B131:K131"/>
    <mergeCell ref="B133:K133"/>
    <mergeCell ref="B136:K136"/>
    <mergeCell ref="B117:K117"/>
    <mergeCell ref="B119:K119"/>
    <mergeCell ref="B93:K93"/>
    <mergeCell ref="B95:K95"/>
    <mergeCell ref="B97:K97"/>
    <mergeCell ref="B99:K99"/>
    <mergeCell ref="B101:K101"/>
    <mergeCell ref="B105:K105"/>
    <mergeCell ref="B107:K107"/>
    <mergeCell ref="B109:K109"/>
    <mergeCell ref="B103:K103"/>
    <mergeCell ref="B91:K91"/>
    <mergeCell ref="B74:K74"/>
    <mergeCell ref="B76:K76"/>
    <mergeCell ref="B86:K86"/>
    <mergeCell ref="B78:K78"/>
    <mergeCell ref="B80:K80"/>
    <mergeCell ref="B82:K82"/>
    <mergeCell ref="B84:K84"/>
    <mergeCell ref="B66:K66"/>
    <mergeCell ref="B68:K68"/>
    <mergeCell ref="B70:K70"/>
    <mergeCell ref="B72:K72"/>
    <mergeCell ref="B2:F2"/>
    <mergeCell ref="B60:K60"/>
    <mergeCell ref="B62:K62"/>
    <mergeCell ref="B64:K64"/>
    <mergeCell ref="B54:K57"/>
  </mergeCells>
  <pageMargins left="0.70866141732283472" right="0.70866141732283472" top="0.78740157480314965" bottom="0.78740157480314965" header="0.31496062992125984" footer="0.31496062992125984"/>
  <pageSetup paperSize="9" scale="74" firstPageNumber="33" fitToHeight="9999" orientation="portrait" useFirstPageNumber="1" r:id="rId1"/>
  <headerFooter>
    <oddFooter>&amp;L&amp;"Arial CE,Kurzíva"Zastupitelstvo Olomouckého kraje 16-12-2011
6. - Rozpočet Olomouckého kraje 2012 - návrh rozpočtu 
Příloha č. 3a): Výdaje odborů (kanceláří)&amp;R&amp;"Arial CE,Kurzíva"Strana &amp;P (celkem 167)</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pageSetUpPr fitToPage="1"/>
  </sheetPr>
  <dimension ref="B2:K47"/>
  <sheetViews>
    <sheetView showGridLines="0" view="pageBreakPreview" topLeftCell="A11" zoomScaleNormal="100" zoomScaleSheetLayoutView="100" workbookViewId="0">
      <selection activeCell="F135" sqref="F135"/>
    </sheetView>
  </sheetViews>
  <sheetFormatPr defaultRowHeight="12.75" x14ac:dyDescent="0.2"/>
  <cols>
    <col min="1" max="1" width="0.85546875" customWidth="1"/>
    <col min="2" max="3" width="4.7109375" customWidth="1"/>
    <col min="4" max="4" width="9.7109375" customWidth="1"/>
    <col min="5" max="5" width="11.7109375" customWidth="1"/>
    <col min="6" max="6" width="37.7109375" customWidth="1"/>
    <col min="7" max="10" width="10.7109375" customWidth="1"/>
    <col min="11" max="11" width="7.7109375" customWidth="1"/>
  </cols>
  <sheetData>
    <row r="2" spans="2:11" ht="30.95" customHeight="1" x14ac:dyDescent="0.2">
      <c r="B2" s="267" t="s">
        <v>235</v>
      </c>
      <c r="C2" s="268"/>
      <c r="D2" s="268"/>
      <c r="E2" s="268"/>
      <c r="F2" s="268"/>
      <c r="G2" s="3"/>
      <c r="H2" s="3"/>
      <c r="I2" s="3"/>
      <c r="J2" s="3"/>
      <c r="K2" s="3" t="s">
        <v>236</v>
      </c>
    </row>
    <row r="4" spans="2:11" hidden="1" x14ac:dyDescent="0.2"/>
    <row r="5" spans="2:11" s="123" customFormat="1" ht="15" x14ac:dyDescent="0.2">
      <c r="B5" s="188" t="s">
        <v>0</v>
      </c>
      <c r="C5" s="188"/>
      <c r="D5" s="188" t="s">
        <v>237</v>
      </c>
      <c r="E5" s="189"/>
      <c r="F5" s="189"/>
      <c r="G5" s="189"/>
      <c r="H5" s="189"/>
      <c r="I5" s="189"/>
      <c r="J5" s="189"/>
      <c r="K5" s="189"/>
    </row>
    <row r="6" spans="2:11" s="123" customFormat="1" ht="15" x14ac:dyDescent="0.2">
      <c r="B6" s="188"/>
      <c r="C6" s="188"/>
      <c r="D6" s="188" t="s">
        <v>33</v>
      </c>
      <c r="E6" s="189"/>
      <c r="F6" s="189"/>
      <c r="G6" s="189"/>
      <c r="H6" s="189"/>
      <c r="I6" s="189"/>
      <c r="J6" s="189"/>
      <c r="K6" s="189"/>
    </row>
    <row r="7" spans="2:11" ht="13.5" thickBot="1" x14ac:dyDescent="0.25">
      <c r="B7" s="5"/>
      <c r="C7" s="5"/>
      <c r="D7" s="5"/>
      <c r="E7" s="5"/>
      <c r="F7" s="5"/>
      <c r="G7" s="5"/>
      <c r="H7" s="5"/>
      <c r="I7" s="5"/>
      <c r="J7" s="5"/>
      <c r="K7" s="5" t="s">
        <v>3</v>
      </c>
    </row>
    <row r="8" spans="2:11" ht="35.1" customHeight="1" x14ac:dyDescent="0.2">
      <c r="B8" s="7" t="s">
        <v>4</v>
      </c>
      <c r="C8" s="8" t="s">
        <v>5</v>
      </c>
      <c r="D8" s="8" t="s">
        <v>6</v>
      </c>
      <c r="E8" s="8" t="s">
        <v>7</v>
      </c>
      <c r="F8" s="6" t="s">
        <v>8</v>
      </c>
      <c r="G8" s="6" t="s">
        <v>9</v>
      </c>
      <c r="H8" s="6" t="s">
        <v>10</v>
      </c>
      <c r="I8" s="6" t="s">
        <v>11</v>
      </c>
      <c r="J8" s="6" t="s">
        <v>12</v>
      </c>
      <c r="K8" s="9" t="s">
        <v>13</v>
      </c>
    </row>
    <row r="9" spans="2:11" ht="13.5" thickBot="1" x14ac:dyDescent="0.25">
      <c r="B9" s="10">
        <v>1</v>
      </c>
      <c r="C9" s="11">
        <v>2</v>
      </c>
      <c r="D9" s="11">
        <v>3</v>
      </c>
      <c r="E9" s="11">
        <v>4</v>
      </c>
      <c r="F9" s="12">
        <v>5</v>
      </c>
      <c r="G9" s="12">
        <v>6</v>
      </c>
      <c r="H9" s="12">
        <v>7</v>
      </c>
      <c r="I9" s="12">
        <v>8</v>
      </c>
      <c r="J9" s="12">
        <v>9</v>
      </c>
      <c r="K9" s="13" t="s">
        <v>14</v>
      </c>
    </row>
    <row r="10" spans="2:11" ht="15" x14ac:dyDescent="0.2">
      <c r="B10" s="88">
        <v>6172</v>
      </c>
      <c r="C10" s="89">
        <v>5163</v>
      </c>
      <c r="D10" s="89">
        <v>0</v>
      </c>
      <c r="E10" s="89">
        <v>20003000000</v>
      </c>
      <c r="F10" s="90" t="s">
        <v>19</v>
      </c>
      <c r="G10" s="91">
        <v>20908</v>
      </c>
      <c r="H10" s="91">
        <v>20408</v>
      </c>
      <c r="I10" s="91">
        <f>1465878/100</f>
        <v>14658.78</v>
      </c>
      <c r="J10" s="91">
        <v>20908</v>
      </c>
      <c r="K10" s="103">
        <f>J10/G10*100</f>
        <v>100</v>
      </c>
    </row>
    <row r="11" spans="2:11" ht="15" x14ac:dyDescent="0.2">
      <c r="B11" s="82">
        <v>6172</v>
      </c>
      <c r="C11" s="83">
        <v>5164</v>
      </c>
      <c r="D11" s="83">
        <v>0</v>
      </c>
      <c r="E11" s="83">
        <v>20000000000</v>
      </c>
      <c r="F11" s="84" t="s">
        <v>20</v>
      </c>
      <c r="G11" s="85">
        <v>70</v>
      </c>
      <c r="H11" s="85">
        <f>1141/100</f>
        <v>11.41</v>
      </c>
      <c r="I11" s="85">
        <f>932/100</f>
        <v>9.32</v>
      </c>
      <c r="J11" s="85">
        <v>70</v>
      </c>
      <c r="K11" s="103">
        <f>J11/G11*100</f>
        <v>100</v>
      </c>
    </row>
    <row r="12" spans="2:11" ht="15" x14ac:dyDescent="0.2">
      <c r="B12" s="82">
        <v>6172</v>
      </c>
      <c r="C12" s="83">
        <v>5164</v>
      </c>
      <c r="D12" s="83">
        <v>0</v>
      </c>
      <c r="E12" s="83">
        <v>60004100022</v>
      </c>
      <c r="F12" s="84" t="s">
        <v>20</v>
      </c>
      <c r="G12" s="85">
        <v>0</v>
      </c>
      <c r="H12" s="85">
        <f>6059/100</f>
        <v>60.59</v>
      </c>
      <c r="I12" s="85">
        <f>6059/100</f>
        <v>60.59</v>
      </c>
      <c r="J12" s="85">
        <v>0</v>
      </c>
      <c r="K12" s="103"/>
    </row>
    <row r="13" spans="2:11" ht="25.5" x14ac:dyDescent="0.2">
      <c r="B13" s="82">
        <v>6172</v>
      </c>
      <c r="C13" s="83">
        <v>5166</v>
      </c>
      <c r="D13" s="83">
        <v>0</v>
      </c>
      <c r="E13" s="83">
        <v>20000000000</v>
      </c>
      <c r="F13" s="84" t="s">
        <v>42</v>
      </c>
      <c r="G13" s="85">
        <v>600</v>
      </c>
      <c r="H13" s="85">
        <f>153990/100</f>
        <v>1539.9</v>
      </c>
      <c r="I13" s="85">
        <f>87147/100</f>
        <v>871.47</v>
      </c>
      <c r="J13" s="85">
        <v>1800</v>
      </c>
      <c r="K13" s="103">
        <f t="shared" ref="K13:K23" si="0">J13/G13*100</f>
        <v>300</v>
      </c>
    </row>
    <row r="14" spans="2:11" ht="25.5" x14ac:dyDescent="0.2">
      <c r="B14" s="82">
        <v>6172</v>
      </c>
      <c r="C14" s="83">
        <v>5166</v>
      </c>
      <c r="D14" s="83">
        <v>0</v>
      </c>
      <c r="E14" s="83">
        <v>20000009000</v>
      </c>
      <c r="F14" s="84" t="s">
        <v>42</v>
      </c>
      <c r="G14" s="85">
        <v>1200</v>
      </c>
      <c r="H14" s="85">
        <f>12810/100</f>
        <v>128.1</v>
      </c>
      <c r="I14" s="85">
        <f>3938/100</f>
        <v>39.380000000000003</v>
      </c>
      <c r="J14" s="85">
        <v>0</v>
      </c>
      <c r="K14" s="103">
        <f t="shared" si="0"/>
        <v>0</v>
      </c>
    </row>
    <row r="15" spans="2:11" ht="25.5" x14ac:dyDescent="0.2">
      <c r="B15" s="82">
        <v>6172</v>
      </c>
      <c r="C15" s="83">
        <v>5166</v>
      </c>
      <c r="D15" s="83">
        <v>12</v>
      </c>
      <c r="E15" s="83">
        <v>60004100130</v>
      </c>
      <c r="F15" s="84" t="s">
        <v>42</v>
      </c>
      <c r="G15" s="85">
        <v>0</v>
      </c>
      <c r="H15" s="85">
        <v>50</v>
      </c>
      <c r="I15" s="85">
        <f>1055/100</f>
        <v>10.55</v>
      </c>
      <c r="J15" s="85">
        <v>0</v>
      </c>
      <c r="K15" s="103"/>
    </row>
    <row r="16" spans="2:11" ht="15" x14ac:dyDescent="0.2">
      <c r="B16" s="82">
        <v>6172</v>
      </c>
      <c r="C16" s="83">
        <v>5169</v>
      </c>
      <c r="D16" s="83">
        <v>0</v>
      </c>
      <c r="E16" s="83">
        <v>20000000000</v>
      </c>
      <c r="F16" s="84" t="s">
        <v>15</v>
      </c>
      <c r="G16" s="85">
        <v>24</v>
      </c>
      <c r="H16" s="85">
        <v>44</v>
      </c>
      <c r="I16" s="85">
        <f>1253/100</f>
        <v>12.53</v>
      </c>
      <c r="J16" s="85">
        <v>24</v>
      </c>
      <c r="K16" s="103">
        <f t="shared" si="0"/>
        <v>100</v>
      </c>
    </row>
    <row r="17" spans="2:11" ht="15" x14ac:dyDescent="0.2">
      <c r="B17" s="82">
        <v>6172</v>
      </c>
      <c r="C17" s="83">
        <v>5169</v>
      </c>
      <c r="D17" s="83">
        <v>12</v>
      </c>
      <c r="E17" s="83">
        <v>60004100130</v>
      </c>
      <c r="F17" s="84" t="s">
        <v>15</v>
      </c>
      <c r="G17" s="85">
        <v>0</v>
      </c>
      <c r="H17" s="85">
        <v>50</v>
      </c>
      <c r="I17" s="85">
        <f>2392/100</f>
        <v>23.92</v>
      </c>
      <c r="J17" s="85">
        <v>0</v>
      </c>
      <c r="K17" s="103"/>
    </row>
    <row r="18" spans="2:11" ht="25.5" x14ac:dyDescent="0.2">
      <c r="B18" s="82">
        <v>6172</v>
      </c>
      <c r="C18" s="83">
        <v>5192</v>
      </c>
      <c r="D18" s="83">
        <v>0</v>
      </c>
      <c r="E18" s="83">
        <v>20000000000</v>
      </c>
      <c r="F18" s="84" t="s">
        <v>63</v>
      </c>
      <c r="G18" s="85">
        <v>1</v>
      </c>
      <c r="H18" s="85">
        <v>1</v>
      </c>
      <c r="I18" s="85">
        <v>0</v>
      </c>
      <c r="J18" s="85">
        <v>1</v>
      </c>
      <c r="K18" s="103">
        <f t="shared" si="0"/>
        <v>100</v>
      </c>
    </row>
    <row r="19" spans="2:11" ht="25.5" x14ac:dyDescent="0.2">
      <c r="B19" s="82">
        <v>6172</v>
      </c>
      <c r="C19" s="83">
        <v>5362</v>
      </c>
      <c r="D19" s="83">
        <v>0</v>
      </c>
      <c r="E19" s="83">
        <v>20000000000</v>
      </c>
      <c r="F19" s="84" t="s">
        <v>66</v>
      </c>
      <c r="G19" s="85">
        <v>2</v>
      </c>
      <c r="H19" s="85">
        <v>12</v>
      </c>
      <c r="I19" s="85">
        <f>150/100</f>
        <v>1.5</v>
      </c>
      <c r="J19" s="85">
        <v>2</v>
      </c>
      <c r="K19" s="103">
        <f t="shared" si="0"/>
        <v>100</v>
      </c>
    </row>
    <row r="20" spans="2:11" ht="25.5" x14ac:dyDescent="0.2">
      <c r="B20" s="82">
        <v>6172</v>
      </c>
      <c r="C20" s="83">
        <v>5499</v>
      </c>
      <c r="D20" s="83">
        <v>0</v>
      </c>
      <c r="E20" s="83">
        <v>30102000000</v>
      </c>
      <c r="F20" s="84" t="s">
        <v>16</v>
      </c>
      <c r="G20" s="85">
        <v>2</v>
      </c>
      <c r="H20" s="85">
        <v>2</v>
      </c>
      <c r="I20" s="85">
        <f>27/100</f>
        <v>0.27</v>
      </c>
      <c r="J20" s="85">
        <v>2</v>
      </c>
      <c r="K20" s="103">
        <f t="shared" si="0"/>
        <v>100</v>
      </c>
    </row>
    <row r="21" spans="2:11" ht="15" x14ac:dyDescent="0.2">
      <c r="B21" s="82">
        <v>6172</v>
      </c>
      <c r="C21" s="83">
        <v>6121</v>
      </c>
      <c r="D21" s="83">
        <v>0</v>
      </c>
      <c r="E21" s="83">
        <v>60004000000</v>
      </c>
      <c r="F21" s="84" t="s">
        <v>53</v>
      </c>
      <c r="G21" s="85">
        <v>0</v>
      </c>
      <c r="H21" s="85">
        <v>20</v>
      </c>
      <c r="I21" s="85">
        <f>543/100</f>
        <v>5.43</v>
      </c>
      <c r="J21" s="85">
        <v>0</v>
      </c>
      <c r="K21" s="103"/>
    </row>
    <row r="22" spans="2:11" ht="15" x14ac:dyDescent="0.2">
      <c r="B22" s="82">
        <v>6172</v>
      </c>
      <c r="C22" s="83">
        <v>6130</v>
      </c>
      <c r="D22" s="83">
        <v>0</v>
      </c>
      <c r="E22" s="83">
        <v>60001000000</v>
      </c>
      <c r="F22" s="84" t="s">
        <v>64</v>
      </c>
      <c r="G22" s="85">
        <v>0</v>
      </c>
      <c r="H22" s="85">
        <f>5965/100</f>
        <v>59.65</v>
      </c>
      <c r="I22" s="85">
        <v>0</v>
      </c>
      <c r="J22" s="85">
        <v>0</v>
      </c>
      <c r="K22" s="103"/>
    </row>
    <row r="23" spans="2:11" ht="15" x14ac:dyDescent="0.2">
      <c r="B23" s="82">
        <v>6172</v>
      </c>
      <c r="C23" s="83">
        <v>6130</v>
      </c>
      <c r="D23" s="83">
        <v>0</v>
      </c>
      <c r="E23" s="83">
        <v>60004000000</v>
      </c>
      <c r="F23" s="84" t="s">
        <v>64</v>
      </c>
      <c r="G23" s="85">
        <v>11958</v>
      </c>
      <c r="H23" s="85">
        <f>193721/100</f>
        <v>1937.21</v>
      </c>
      <c r="I23" s="85">
        <f>110931/100</f>
        <v>1109.31</v>
      </c>
      <c r="J23" s="85">
        <v>1358</v>
      </c>
      <c r="K23" s="103">
        <f t="shared" si="0"/>
        <v>11.356414116072921</v>
      </c>
    </row>
    <row r="24" spans="2:11" ht="15" x14ac:dyDescent="0.2">
      <c r="B24" s="82">
        <v>6172</v>
      </c>
      <c r="C24" s="83">
        <v>6130</v>
      </c>
      <c r="D24" s="83">
        <v>12</v>
      </c>
      <c r="E24" s="83">
        <v>60004100022</v>
      </c>
      <c r="F24" s="84" t="s">
        <v>64</v>
      </c>
      <c r="G24" s="85">
        <v>0</v>
      </c>
      <c r="H24" s="85">
        <f>79/100</f>
        <v>0.79</v>
      </c>
      <c r="I24" s="85">
        <f>79/100</f>
        <v>0.79</v>
      </c>
      <c r="J24" s="85">
        <v>0</v>
      </c>
      <c r="K24" s="103"/>
    </row>
    <row r="25" spans="2:11" ht="15.75" thickBot="1" x14ac:dyDescent="0.25">
      <c r="B25" s="92">
        <v>6172</v>
      </c>
      <c r="C25" s="93">
        <v>6130</v>
      </c>
      <c r="D25" s="93">
        <v>12</v>
      </c>
      <c r="E25" s="93">
        <v>60004100130</v>
      </c>
      <c r="F25" s="94" t="s">
        <v>64</v>
      </c>
      <c r="G25" s="95">
        <v>0</v>
      </c>
      <c r="H25" s="95">
        <v>730</v>
      </c>
      <c r="I25" s="95">
        <f>37959/100</f>
        <v>379.59</v>
      </c>
      <c r="J25" s="95">
        <v>0</v>
      </c>
      <c r="K25" s="103"/>
    </row>
    <row r="26" spans="2:11" ht="15.75" thickBot="1" x14ac:dyDescent="0.25">
      <c r="B26" s="18" t="s">
        <v>25</v>
      </c>
      <c r="C26" s="19"/>
      <c r="D26" s="19"/>
      <c r="E26" s="19"/>
      <c r="F26" s="20"/>
      <c r="G26" s="21">
        <f>SUM(G10:G25)</f>
        <v>34765</v>
      </c>
      <c r="H26" s="21">
        <f>SUM(H10:H25)</f>
        <v>25054.65</v>
      </c>
      <c r="I26" s="21">
        <f>SUM(I10:I25)</f>
        <v>17183.43</v>
      </c>
      <c r="J26" s="21">
        <f>SUM(J10:J25)</f>
        <v>24165</v>
      </c>
      <c r="K26" s="106">
        <f>J26/G26*100</f>
        <v>69.509564216884797</v>
      </c>
    </row>
    <row r="27" spans="2:11" x14ac:dyDescent="0.2">
      <c r="F27" s="1"/>
      <c r="G27" s="1"/>
      <c r="H27" s="1"/>
      <c r="I27" s="1"/>
      <c r="J27" s="1"/>
    </row>
    <row r="28" spans="2:11" s="123" customFormat="1" ht="14.25" x14ac:dyDescent="0.2">
      <c r="B28" s="122"/>
      <c r="F28" s="185"/>
      <c r="G28" s="185"/>
      <c r="H28" s="185"/>
      <c r="I28" s="185"/>
      <c r="J28" s="185"/>
    </row>
    <row r="29" spans="2:11" s="123" customFormat="1" ht="11.25" customHeight="1" x14ac:dyDescent="0.2">
      <c r="F29" s="185"/>
      <c r="G29" s="185"/>
      <c r="H29" s="185"/>
      <c r="I29" s="185"/>
      <c r="J29" s="185"/>
    </row>
    <row r="30" spans="2:11" s="123" customFormat="1" ht="15.75" thickBot="1" x14ac:dyDescent="0.25">
      <c r="B30" s="22" t="s">
        <v>28</v>
      </c>
      <c r="C30" s="22"/>
      <c r="D30" s="22"/>
      <c r="E30" s="22"/>
      <c r="F30" s="23"/>
      <c r="G30" s="23"/>
      <c r="H30" s="24"/>
      <c r="I30" s="24"/>
      <c r="J30" s="24">
        <v>20908</v>
      </c>
      <c r="K30" s="25" t="s">
        <v>27</v>
      </c>
    </row>
    <row r="31" spans="2:11" s="123" customFormat="1" ht="48.75" customHeight="1" thickTop="1" x14ac:dyDescent="0.2">
      <c r="B31" s="265" t="s">
        <v>413</v>
      </c>
      <c r="C31" s="266"/>
      <c r="D31" s="266"/>
      <c r="E31" s="266"/>
      <c r="F31" s="266"/>
      <c r="G31" s="266"/>
      <c r="H31" s="266"/>
      <c r="I31" s="266"/>
      <c r="J31" s="266"/>
      <c r="K31" s="266"/>
    </row>
    <row r="32" spans="2:11" s="123" customFormat="1" ht="15.75" thickBot="1" x14ac:dyDescent="0.25">
      <c r="B32" s="22" t="s">
        <v>68</v>
      </c>
      <c r="C32" s="22"/>
      <c r="D32" s="22"/>
      <c r="E32" s="22"/>
      <c r="F32" s="23"/>
      <c r="G32" s="23"/>
      <c r="H32" s="24"/>
      <c r="I32" s="24"/>
      <c r="J32" s="24">
        <v>70</v>
      </c>
      <c r="K32" s="25" t="s">
        <v>27</v>
      </c>
    </row>
    <row r="33" spans="2:11" s="123" customFormat="1" ht="36.75" customHeight="1" thickTop="1" x14ac:dyDescent="0.2">
      <c r="B33" s="265" t="s">
        <v>491</v>
      </c>
      <c r="C33" s="266"/>
      <c r="D33" s="266"/>
      <c r="E33" s="266"/>
      <c r="F33" s="266"/>
      <c r="G33" s="266"/>
      <c r="H33" s="266"/>
      <c r="I33" s="266"/>
      <c r="J33" s="266"/>
      <c r="K33" s="266"/>
    </row>
    <row r="34" spans="2:11" s="123" customFormat="1" ht="15.75" thickBot="1" x14ac:dyDescent="0.25">
      <c r="B34" s="22" t="s">
        <v>51</v>
      </c>
      <c r="C34" s="22"/>
      <c r="D34" s="22"/>
      <c r="E34" s="22"/>
      <c r="F34" s="23"/>
      <c r="G34" s="23"/>
      <c r="H34" s="24"/>
      <c r="I34" s="24"/>
      <c r="J34" s="24">
        <v>1800</v>
      </c>
      <c r="K34" s="25" t="s">
        <v>27</v>
      </c>
    </row>
    <row r="35" spans="2:11" s="123" customFormat="1" ht="77.25" customHeight="1" thickTop="1" x14ac:dyDescent="0.2">
      <c r="B35" s="265" t="s">
        <v>414</v>
      </c>
      <c r="C35" s="266"/>
      <c r="D35" s="266"/>
      <c r="E35" s="266"/>
      <c r="F35" s="266"/>
      <c r="G35" s="266"/>
      <c r="H35" s="266"/>
      <c r="I35" s="266"/>
      <c r="J35" s="266"/>
      <c r="K35" s="266"/>
    </row>
    <row r="36" spans="2:11" s="123" customFormat="1" ht="15.75" thickBot="1" x14ac:dyDescent="0.25">
      <c r="B36" s="22" t="s">
        <v>29</v>
      </c>
      <c r="C36" s="22"/>
      <c r="D36" s="22"/>
      <c r="E36" s="22"/>
      <c r="F36" s="23"/>
      <c r="G36" s="23"/>
      <c r="H36" s="24"/>
      <c r="I36" s="24"/>
      <c r="J36" s="24">
        <v>24</v>
      </c>
      <c r="K36" s="25" t="s">
        <v>27</v>
      </c>
    </row>
    <row r="37" spans="2:11" s="123" customFormat="1" ht="66.75" customHeight="1" thickTop="1" x14ac:dyDescent="0.2">
      <c r="B37" s="265" t="s">
        <v>415</v>
      </c>
      <c r="C37" s="266"/>
      <c r="D37" s="266"/>
      <c r="E37" s="266"/>
      <c r="F37" s="266"/>
      <c r="G37" s="266"/>
      <c r="H37" s="266"/>
      <c r="I37" s="266"/>
      <c r="J37" s="266"/>
      <c r="K37" s="266"/>
    </row>
    <row r="38" spans="2:11" s="123" customFormat="1" ht="15.75" thickBot="1" x14ac:dyDescent="0.25">
      <c r="B38" s="22" t="s">
        <v>77</v>
      </c>
      <c r="C38" s="22"/>
      <c r="D38" s="22"/>
      <c r="E38" s="22"/>
      <c r="F38" s="23"/>
      <c r="G38" s="23"/>
      <c r="H38" s="24"/>
      <c r="I38" s="24"/>
      <c r="J38" s="24">
        <v>1</v>
      </c>
      <c r="K38" s="25" t="s">
        <v>27</v>
      </c>
    </row>
    <row r="39" spans="2:11" s="123" customFormat="1" ht="36.75" customHeight="1" thickTop="1" x14ac:dyDescent="0.2">
      <c r="B39" s="265" t="s">
        <v>416</v>
      </c>
      <c r="C39" s="266"/>
      <c r="D39" s="266"/>
      <c r="E39" s="266"/>
      <c r="F39" s="266"/>
      <c r="G39" s="266"/>
      <c r="H39" s="266"/>
      <c r="I39" s="266"/>
      <c r="J39" s="266"/>
      <c r="K39" s="266"/>
    </row>
    <row r="40" spans="2:11" s="123" customFormat="1" ht="15.75" thickBot="1" x14ac:dyDescent="0.25">
      <c r="B40" s="22" t="s">
        <v>69</v>
      </c>
      <c r="C40" s="22"/>
      <c r="D40" s="22"/>
      <c r="E40" s="22"/>
      <c r="F40" s="23"/>
      <c r="G40" s="23"/>
      <c r="H40" s="24"/>
      <c r="I40" s="24"/>
      <c r="J40" s="24">
        <v>2</v>
      </c>
      <c r="K40" s="25" t="s">
        <v>27</v>
      </c>
    </row>
    <row r="41" spans="2:11" s="123" customFormat="1" ht="24.75" customHeight="1" thickTop="1" x14ac:dyDescent="0.2">
      <c r="B41" s="269" t="s">
        <v>369</v>
      </c>
      <c r="C41" s="270"/>
      <c r="D41" s="270"/>
      <c r="E41" s="270"/>
      <c r="F41" s="270"/>
      <c r="G41" s="270"/>
      <c r="H41" s="270"/>
      <c r="I41" s="270"/>
      <c r="J41" s="270"/>
      <c r="K41" s="270"/>
    </row>
    <row r="42" spans="2:11" s="123" customFormat="1" ht="15.75" thickBot="1" x14ac:dyDescent="0.25">
      <c r="B42" s="22" t="s">
        <v>31</v>
      </c>
      <c r="C42" s="22"/>
      <c r="D42" s="22"/>
      <c r="E42" s="22"/>
      <c r="F42" s="23"/>
      <c r="G42" s="23"/>
      <c r="H42" s="24"/>
      <c r="I42" s="24"/>
      <c r="J42" s="24">
        <v>2</v>
      </c>
      <c r="K42" s="25" t="s">
        <v>27</v>
      </c>
    </row>
    <row r="43" spans="2:11" s="123" customFormat="1" ht="38.25" customHeight="1" thickTop="1" x14ac:dyDescent="0.2">
      <c r="B43" s="265" t="s">
        <v>417</v>
      </c>
      <c r="C43" s="266"/>
      <c r="D43" s="266"/>
      <c r="E43" s="266"/>
      <c r="F43" s="266"/>
      <c r="G43" s="266"/>
      <c r="H43" s="266"/>
      <c r="I43" s="266"/>
      <c r="J43" s="266"/>
      <c r="K43" s="266"/>
    </row>
    <row r="44" spans="2:11" s="123" customFormat="1" ht="15.75" thickBot="1" x14ac:dyDescent="0.25">
      <c r="B44" s="22" t="s">
        <v>238</v>
      </c>
      <c r="C44" s="22"/>
      <c r="D44" s="22"/>
      <c r="E44" s="22"/>
      <c r="F44" s="23"/>
      <c r="G44" s="23"/>
      <c r="H44" s="24"/>
      <c r="I44" s="24"/>
      <c r="J44" s="24">
        <v>1358</v>
      </c>
      <c r="K44" s="25" t="s">
        <v>27</v>
      </c>
    </row>
    <row r="45" spans="2:11" s="123" customFormat="1" ht="48.75" customHeight="1" thickTop="1" x14ac:dyDescent="0.2">
      <c r="B45" s="265" t="s">
        <v>418</v>
      </c>
      <c r="C45" s="266"/>
      <c r="D45" s="266"/>
      <c r="E45" s="266"/>
      <c r="F45" s="266"/>
      <c r="G45" s="266"/>
      <c r="H45" s="266"/>
      <c r="I45" s="266"/>
      <c r="J45" s="266"/>
      <c r="K45" s="266"/>
    </row>
    <row r="46" spans="2:11" s="123" customFormat="1" ht="14.25" x14ac:dyDescent="0.2"/>
    <row r="47" spans="2:11" s="123" customFormat="1" ht="14.25" x14ac:dyDescent="0.2"/>
  </sheetData>
  <mergeCells count="9">
    <mergeCell ref="B41:K41"/>
    <mergeCell ref="B43:K43"/>
    <mergeCell ref="B45:K45"/>
    <mergeCell ref="B2:F2"/>
    <mergeCell ref="B31:K31"/>
    <mergeCell ref="B33:K33"/>
    <mergeCell ref="B35:K35"/>
    <mergeCell ref="B37:K37"/>
    <mergeCell ref="B39:K39"/>
  </mergeCells>
  <pageMargins left="0.70866141732283472" right="0.70866141732283472" top="0.78740157480314965" bottom="0.78740157480314965" header="0.31496062992125984" footer="0.31496062992125984"/>
  <pageSetup paperSize="9" scale="74" firstPageNumber="38" fitToHeight="9999" orientation="portrait" useFirstPageNumber="1" r:id="rId1"/>
  <headerFooter>
    <oddFooter>&amp;L&amp;"Arial CE,Kurzíva"Zastupitelstvo Olomouckého kraje 16-12-2011
6. - Rozpočet Olomouckého kraje 2012 - návrh rozpočtu 
Příloha č. 3a): Výdaje odborů (kanceláří)&amp;R&amp;"Arial CE,Kurzíva"Strana &amp;P (celkem 167)</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pageSetUpPr fitToPage="1"/>
  </sheetPr>
  <dimension ref="B2:K19"/>
  <sheetViews>
    <sheetView showGridLines="0" view="pageBreakPreview" zoomScaleNormal="100" zoomScaleSheetLayoutView="100" workbookViewId="0">
      <selection activeCell="F135" sqref="F135"/>
    </sheetView>
  </sheetViews>
  <sheetFormatPr defaultRowHeight="12.75" x14ac:dyDescent="0.2"/>
  <cols>
    <col min="1" max="1" width="0.85546875" customWidth="1"/>
    <col min="2" max="3" width="4.7109375" customWidth="1"/>
    <col min="4" max="4" width="9.7109375" customWidth="1"/>
    <col min="5" max="5" width="11.7109375" customWidth="1"/>
    <col min="6" max="6" width="37.7109375" customWidth="1"/>
    <col min="7" max="10" width="10.7109375" customWidth="1"/>
    <col min="11" max="11" width="7.7109375" customWidth="1"/>
  </cols>
  <sheetData>
    <row r="2" spans="2:11" ht="33" customHeight="1" x14ac:dyDescent="0.2">
      <c r="B2" s="267" t="s">
        <v>232</v>
      </c>
      <c r="C2" s="268"/>
      <c r="D2" s="268"/>
      <c r="E2" s="268"/>
      <c r="F2" s="268"/>
      <c r="G2" s="3"/>
      <c r="H2" s="3"/>
      <c r="I2" s="3"/>
      <c r="J2" s="3"/>
      <c r="K2" s="3" t="s">
        <v>233</v>
      </c>
    </row>
    <row r="5" spans="2:11" s="123" customFormat="1" ht="15" x14ac:dyDescent="0.2">
      <c r="B5" s="188" t="s">
        <v>0</v>
      </c>
      <c r="C5" s="188"/>
      <c r="D5" s="188" t="s">
        <v>234</v>
      </c>
      <c r="E5" s="189"/>
      <c r="F5" s="189"/>
      <c r="G5" s="189"/>
      <c r="H5" s="189"/>
      <c r="I5" s="189"/>
      <c r="J5" s="189"/>
      <c r="K5" s="189"/>
    </row>
    <row r="6" spans="2:11" s="123" customFormat="1" ht="15" x14ac:dyDescent="0.2">
      <c r="B6" s="188"/>
      <c r="C6" s="188"/>
      <c r="D6" s="188" t="s">
        <v>33</v>
      </c>
      <c r="E6" s="189"/>
      <c r="F6" s="189"/>
      <c r="G6" s="189"/>
      <c r="H6" s="189"/>
      <c r="I6" s="189"/>
      <c r="J6" s="189"/>
      <c r="K6" s="189"/>
    </row>
    <row r="7" spans="2:11" ht="13.5" thickBot="1" x14ac:dyDescent="0.25">
      <c r="B7" s="5"/>
      <c r="C7" s="5"/>
      <c r="D7" s="5"/>
      <c r="E7" s="5"/>
      <c r="F7" s="5"/>
      <c r="G7" s="5"/>
      <c r="H7" s="5"/>
      <c r="I7" s="5"/>
      <c r="J7" s="5"/>
      <c r="K7" s="5" t="s">
        <v>3</v>
      </c>
    </row>
    <row r="8" spans="2:11" ht="35.1" customHeight="1" x14ac:dyDescent="0.2">
      <c r="B8" s="7" t="s">
        <v>4</v>
      </c>
      <c r="C8" s="8" t="s">
        <v>5</v>
      </c>
      <c r="D8" s="8" t="s">
        <v>6</v>
      </c>
      <c r="E8" s="8" t="s">
        <v>7</v>
      </c>
      <c r="F8" s="6" t="s">
        <v>8</v>
      </c>
      <c r="G8" s="6" t="s">
        <v>9</v>
      </c>
      <c r="H8" s="6" t="s">
        <v>10</v>
      </c>
      <c r="I8" s="6" t="s">
        <v>11</v>
      </c>
      <c r="J8" s="6" t="s">
        <v>12</v>
      </c>
      <c r="K8" s="9" t="s">
        <v>13</v>
      </c>
    </row>
    <row r="9" spans="2:11" ht="13.5" thickBot="1" x14ac:dyDescent="0.25">
      <c r="B9" s="10">
        <v>1</v>
      </c>
      <c r="C9" s="11">
        <v>2</v>
      </c>
      <c r="D9" s="11">
        <v>3</v>
      </c>
      <c r="E9" s="11">
        <v>4</v>
      </c>
      <c r="F9" s="12">
        <v>5</v>
      </c>
      <c r="G9" s="12">
        <v>6</v>
      </c>
      <c r="H9" s="12">
        <v>7</v>
      </c>
      <c r="I9" s="12">
        <v>8</v>
      </c>
      <c r="J9" s="12">
        <v>9</v>
      </c>
      <c r="K9" s="13" t="s">
        <v>14</v>
      </c>
    </row>
    <row r="10" spans="2:11" ht="25.5" x14ac:dyDescent="0.2">
      <c r="B10" s="88">
        <v>6172</v>
      </c>
      <c r="C10" s="89">
        <v>5166</v>
      </c>
      <c r="D10" s="89">
        <v>0</v>
      </c>
      <c r="E10" s="89">
        <v>20000000000</v>
      </c>
      <c r="F10" s="90" t="s">
        <v>42</v>
      </c>
      <c r="G10" s="91">
        <v>10</v>
      </c>
      <c r="H10" s="91">
        <v>10</v>
      </c>
      <c r="I10" s="91">
        <v>0</v>
      </c>
      <c r="J10" s="91">
        <v>10</v>
      </c>
      <c r="K10" s="113">
        <f>J10/G10*100</f>
        <v>100</v>
      </c>
    </row>
    <row r="11" spans="2:11" ht="26.25" thickBot="1" x14ac:dyDescent="0.25">
      <c r="B11" s="92">
        <v>6172</v>
      </c>
      <c r="C11" s="93">
        <v>5192</v>
      </c>
      <c r="D11" s="93">
        <v>0</v>
      </c>
      <c r="E11" s="93">
        <v>20000000000</v>
      </c>
      <c r="F11" s="94" t="s">
        <v>63</v>
      </c>
      <c r="G11" s="95">
        <v>40</v>
      </c>
      <c r="H11" s="95">
        <v>40</v>
      </c>
      <c r="I11" s="95">
        <f>240/100</f>
        <v>2.4</v>
      </c>
      <c r="J11" s="95">
        <v>70</v>
      </c>
      <c r="K11" s="103">
        <f>J11/G11*100</f>
        <v>175</v>
      </c>
    </row>
    <row r="12" spans="2:11" ht="15.75" thickBot="1" x14ac:dyDescent="0.25">
      <c r="B12" s="18" t="s">
        <v>25</v>
      </c>
      <c r="C12" s="19"/>
      <c r="D12" s="19"/>
      <c r="E12" s="19"/>
      <c r="F12" s="20"/>
      <c r="G12" s="21">
        <f>SUM(G10:G11)</f>
        <v>50</v>
      </c>
      <c r="H12" s="21">
        <f>SUM(H10:H11)</f>
        <v>50</v>
      </c>
      <c r="I12" s="21">
        <f>SUM(I10:I11)</f>
        <v>2.4</v>
      </c>
      <c r="J12" s="21">
        <f>SUM(J10:J11)</f>
        <v>80</v>
      </c>
      <c r="K12" s="106">
        <f>J12/G12*100</f>
        <v>160</v>
      </c>
    </row>
    <row r="13" spans="2:11" x14ac:dyDescent="0.2">
      <c r="F13" s="1"/>
      <c r="G13" s="1"/>
      <c r="H13" s="1"/>
      <c r="I13" s="1"/>
      <c r="J13" s="1"/>
    </row>
    <row r="14" spans="2:11" s="123" customFormat="1" ht="14.25" x14ac:dyDescent="0.2">
      <c r="B14" s="122"/>
      <c r="F14" s="185"/>
      <c r="G14" s="185"/>
      <c r="H14" s="185"/>
      <c r="I14" s="185"/>
      <c r="J14" s="185"/>
    </row>
    <row r="15" spans="2:11" s="123" customFormat="1" ht="14.25" x14ac:dyDescent="0.2">
      <c r="F15" s="185"/>
      <c r="G15" s="185"/>
      <c r="H15" s="185"/>
      <c r="I15" s="185"/>
      <c r="J15" s="185"/>
    </row>
    <row r="16" spans="2:11" s="123" customFormat="1" ht="15.75" thickBot="1" x14ac:dyDescent="0.25">
      <c r="B16" s="22" t="s">
        <v>51</v>
      </c>
      <c r="C16" s="22"/>
      <c r="D16" s="22"/>
      <c r="E16" s="22"/>
      <c r="F16" s="23"/>
      <c r="G16" s="23"/>
      <c r="H16" s="24"/>
      <c r="I16" s="24"/>
      <c r="J16" s="24">
        <v>10</v>
      </c>
      <c r="K16" s="25" t="s">
        <v>27</v>
      </c>
    </row>
    <row r="17" spans="2:11" s="123" customFormat="1" ht="23.25" customHeight="1" thickTop="1" x14ac:dyDescent="0.2">
      <c r="B17" s="269" t="s">
        <v>368</v>
      </c>
      <c r="C17" s="270"/>
      <c r="D17" s="270"/>
      <c r="E17" s="270"/>
      <c r="F17" s="270"/>
      <c r="G17" s="270"/>
      <c r="H17" s="270"/>
      <c r="I17" s="270"/>
      <c r="J17" s="270"/>
      <c r="K17" s="270"/>
    </row>
    <row r="18" spans="2:11" s="123" customFormat="1" ht="15.75" thickBot="1" x14ac:dyDescent="0.25">
      <c r="B18" s="22" t="s">
        <v>77</v>
      </c>
      <c r="C18" s="22"/>
      <c r="D18" s="22"/>
      <c r="E18" s="22"/>
      <c r="F18" s="23"/>
      <c r="G18" s="23"/>
      <c r="H18" s="24"/>
      <c r="I18" s="24"/>
      <c r="J18" s="24">
        <v>70</v>
      </c>
      <c r="K18" s="25" t="s">
        <v>27</v>
      </c>
    </row>
    <row r="19" spans="2:11" s="123" customFormat="1" ht="99.75" customHeight="1" thickTop="1" x14ac:dyDescent="0.2">
      <c r="B19" s="265" t="s">
        <v>616</v>
      </c>
      <c r="C19" s="266"/>
      <c r="D19" s="266"/>
      <c r="E19" s="266"/>
      <c r="F19" s="266"/>
      <c r="G19" s="266"/>
      <c r="H19" s="266"/>
      <c r="I19" s="266"/>
      <c r="J19" s="266"/>
      <c r="K19" s="266"/>
    </row>
  </sheetData>
  <mergeCells count="3">
    <mergeCell ref="B2:F2"/>
    <mergeCell ref="B17:K17"/>
    <mergeCell ref="B19:K19"/>
  </mergeCells>
  <pageMargins left="0.70866141732283472" right="0.70866141732283472" top="0.78740157480314965" bottom="0.78740157480314965" header="0.31496062992125984" footer="0.31496062992125984"/>
  <pageSetup paperSize="9" scale="74" firstPageNumber="39" fitToHeight="9999" orientation="portrait" useFirstPageNumber="1" r:id="rId1"/>
  <headerFooter>
    <oddFooter>&amp;L&amp;"Arial CE,Kurzíva"Zastupitelstvo Olomouckého kraje 16-12-2011
6. - Rozpočet Olomouckého kraje 2012 - návrh rozpočtu 
Příloha č. 3a): Výdaje odborů (kanceláří)&amp;R&amp;"Arial CE,Kurzíva"Strana &amp;P (celkem 167)</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pageSetUpPr fitToPage="1"/>
  </sheetPr>
  <dimension ref="B2:K47"/>
  <sheetViews>
    <sheetView showGridLines="0" view="pageBreakPreview" topLeftCell="A7" zoomScaleNormal="100" zoomScaleSheetLayoutView="100" workbookViewId="0">
      <selection activeCell="L45" sqref="L45"/>
    </sheetView>
  </sheetViews>
  <sheetFormatPr defaultRowHeight="12.75" x14ac:dyDescent="0.2"/>
  <cols>
    <col min="1" max="1" width="0.85546875" customWidth="1"/>
    <col min="2" max="3" width="4.7109375" customWidth="1"/>
    <col min="4" max="4" width="9.7109375" customWidth="1"/>
    <col min="5" max="5" width="11.7109375" customWidth="1"/>
    <col min="6" max="6" width="37.7109375" customWidth="1"/>
    <col min="7" max="10" width="10.7109375" customWidth="1"/>
    <col min="11" max="11" width="7.7109375" customWidth="1"/>
  </cols>
  <sheetData>
    <row r="2" spans="2:11" ht="33.950000000000003" customHeight="1" x14ac:dyDescent="0.2">
      <c r="B2" s="267" t="s">
        <v>224</v>
      </c>
      <c r="C2" s="268"/>
      <c r="D2" s="268"/>
      <c r="E2" s="268"/>
      <c r="F2" s="268"/>
      <c r="G2" s="3"/>
      <c r="H2" s="3"/>
      <c r="I2" s="3"/>
      <c r="J2" s="3"/>
      <c r="K2" s="3" t="s">
        <v>225</v>
      </c>
    </row>
    <row r="5" spans="2:11" x14ac:dyDescent="0.2">
      <c r="B5" s="4" t="s">
        <v>0</v>
      </c>
      <c r="C5" s="4"/>
      <c r="D5" s="4" t="s">
        <v>226</v>
      </c>
      <c r="E5" s="2"/>
      <c r="F5" s="2"/>
      <c r="G5" s="2"/>
      <c r="H5" s="2"/>
      <c r="I5" s="2"/>
      <c r="J5" s="2"/>
      <c r="K5" s="2"/>
    </row>
    <row r="6" spans="2:11" x14ac:dyDescent="0.2">
      <c r="B6" s="4"/>
      <c r="C6" s="4"/>
      <c r="D6" s="4" t="s">
        <v>33</v>
      </c>
      <c r="E6" s="2"/>
      <c r="F6" s="2"/>
      <c r="G6" s="2"/>
      <c r="H6" s="2"/>
      <c r="I6" s="2"/>
      <c r="J6" s="2"/>
      <c r="K6" s="2"/>
    </row>
    <row r="7" spans="2:11" ht="13.5" thickBot="1" x14ac:dyDescent="0.25">
      <c r="B7" s="5"/>
      <c r="C7" s="5"/>
      <c r="D7" s="5"/>
      <c r="E7" s="5"/>
      <c r="F7" s="5"/>
      <c r="G7" s="5"/>
      <c r="H7" s="5"/>
      <c r="I7" s="5"/>
      <c r="J7" s="5"/>
      <c r="K7" s="5" t="s">
        <v>3</v>
      </c>
    </row>
    <row r="8" spans="2:11" ht="35.1" customHeight="1" x14ac:dyDescent="0.2">
      <c r="B8" s="7" t="s">
        <v>4</v>
      </c>
      <c r="C8" s="8" t="s">
        <v>5</v>
      </c>
      <c r="D8" s="8" t="s">
        <v>6</v>
      </c>
      <c r="E8" s="8" t="s">
        <v>7</v>
      </c>
      <c r="F8" s="6" t="s">
        <v>8</v>
      </c>
      <c r="G8" s="6" t="s">
        <v>9</v>
      </c>
      <c r="H8" s="6" t="s">
        <v>10</v>
      </c>
      <c r="I8" s="6" t="s">
        <v>11</v>
      </c>
      <c r="J8" s="6" t="s">
        <v>12</v>
      </c>
      <c r="K8" s="9" t="s">
        <v>13</v>
      </c>
    </row>
    <row r="9" spans="2:11" ht="13.5" thickBot="1" x14ac:dyDescent="0.25">
      <c r="B9" s="10">
        <v>1</v>
      </c>
      <c r="C9" s="11">
        <v>2</v>
      </c>
      <c r="D9" s="11">
        <v>3</v>
      </c>
      <c r="E9" s="11">
        <v>4</v>
      </c>
      <c r="F9" s="12">
        <v>5</v>
      </c>
      <c r="G9" s="12">
        <v>6</v>
      </c>
      <c r="H9" s="12">
        <v>7</v>
      </c>
      <c r="I9" s="12">
        <v>8</v>
      </c>
      <c r="J9" s="12">
        <v>9</v>
      </c>
      <c r="K9" s="13" t="s">
        <v>14</v>
      </c>
    </row>
    <row r="10" spans="2:11" ht="15" x14ac:dyDescent="0.2">
      <c r="B10" s="88">
        <v>6172</v>
      </c>
      <c r="C10" s="89">
        <v>5137</v>
      </c>
      <c r="D10" s="89">
        <v>0</v>
      </c>
      <c r="E10" s="89">
        <v>20000000000</v>
      </c>
      <c r="F10" s="90" t="s">
        <v>49</v>
      </c>
      <c r="G10" s="91">
        <v>2000</v>
      </c>
      <c r="H10" s="91">
        <v>2000</v>
      </c>
      <c r="I10" s="91">
        <f>19413/100</f>
        <v>194.13</v>
      </c>
      <c r="J10" s="91">
        <v>1420</v>
      </c>
      <c r="K10" s="103">
        <f>J10/G10*100</f>
        <v>71</v>
      </c>
    </row>
    <row r="11" spans="2:11" ht="15" x14ac:dyDescent="0.2">
      <c r="B11" s="82">
        <v>6172</v>
      </c>
      <c r="C11" s="83">
        <v>5139</v>
      </c>
      <c r="D11" s="83">
        <v>0</v>
      </c>
      <c r="E11" s="83">
        <v>20000000000</v>
      </c>
      <c r="F11" s="84" t="s">
        <v>18</v>
      </c>
      <c r="G11" s="85">
        <v>400</v>
      </c>
      <c r="H11" s="85">
        <v>400</v>
      </c>
      <c r="I11" s="85">
        <f>4677/100</f>
        <v>46.77</v>
      </c>
      <c r="J11" s="85">
        <v>400</v>
      </c>
      <c r="K11" s="103">
        <f>J11/G11*100</f>
        <v>100</v>
      </c>
    </row>
    <row r="12" spans="2:11" ht="15" x14ac:dyDescent="0.2">
      <c r="B12" s="82">
        <v>6172</v>
      </c>
      <c r="C12" s="83">
        <v>5164</v>
      </c>
      <c r="D12" s="83">
        <v>0</v>
      </c>
      <c r="E12" s="83">
        <v>20000000000</v>
      </c>
      <c r="F12" s="84" t="s">
        <v>20</v>
      </c>
      <c r="G12" s="85">
        <v>1700</v>
      </c>
      <c r="H12" s="85">
        <v>1700</v>
      </c>
      <c r="I12" s="85">
        <f>141891/100</f>
        <v>1418.91</v>
      </c>
      <c r="J12" s="85">
        <v>2203</v>
      </c>
      <c r="K12" s="103">
        <f t="shared" ref="K12:K18" si="0">J12/G12*100</f>
        <v>129.58823529411765</v>
      </c>
    </row>
    <row r="13" spans="2:11" ht="15" x14ac:dyDescent="0.2">
      <c r="B13" s="82">
        <v>6172</v>
      </c>
      <c r="C13" s="83">
        <v>5164</v>
      </c>
      <c r="D13" s="83">
        <v>9</v>
      </c>
      <c r="E13" s="83">
        <v>20000000000</v>
      </c>
      <c r="F13" s="84" t="s">
        <v>20</v>
      </c>
      <c r="G13" s="85">
        <v>569</v>
      </c>
      <c r="H13" s="85">
        <v>569</v>
      </c>
      <c r="I13" s="85">
        <f>42660/100</f>
        <v>426.6</v>
      </c>
      <c r="J13" s="85">
        <v>0</v>
      </c>
      <c r="K13" s="103">
        <f t="shared" si="0"/>
        <v>0</v>
      </c>
    </row>
    <row r="14" spans="2:11" ht="25.5" x14ac:dyDescent="0.2">
      <c r="B14" s="82">
        <v>6172</v>
      </c>
      <c r="C14" s="83">
        <v>5166</v>
      </c>
      <c r="D14" s="83">
        <v>0</v>
      </c>
      <c r="E14" s="83">
        <v>20000000000</v>
      </c>
      <c r="F14" s="84" t="s">
        <v>42</v>
      </c>
      <c r="G14" s="85">
        <v>100</v>
      </c>
      <c r="H14" s="85">
        <v>100</v>
      </c>
      <c r="I14" s="85">
        <f>3360/100</f>
        <v>33.6</v>
      </c>
      <c r="J14" s="85">
        <v>250</v>
      </c>
      <c r="K14" s="103">
        <f t="shared" si="0"/>
        <v>250</v>
      </c>
    </row>
    <row r="15" spans="2:11" ht="15" x14ac:dyDescent="0.2">
      <c r="B15" s="82">
        <v>6172</v>
      </c>
      <c r="C15" s="83">
        <v>5168</v>
      </c>
      <c r="D15" s="83">
        <v>0</v>
      </c>
      <c r="E15" s="83">
        <v>20000000000</v>
      </c>
      <c r="F15" s="84" t="s">
        <v>171</v>
      </c>
      <c r="G15" s="85">
        <v>2100</v>
      </c>
      <c r="H15" s="85">
        <v>1200</v>
      </c>
      <c r="I15" s="85">
        <v>0</v>
      </c>
      <c r="J15" s="85">
        <v>280</v>
      </c>
      <c r="K15" s="103">
        <f t="shared" si="0"/>
        <v>13.333333333333334</v>
      </c>
    </row>
    <row r="16" spans="2:11" ht="15" x14ac:dyDescent="0.2">
      <c r="B16" s="82">
        <v>6172</v>
      </c>
      <c r="C16" s="83">
        <v>5169</v>
      </c>
      <c r="D16" s="83">
        <v>0</v>
      </c>
      <c r="E16" s="83">
        <v>20000000000</v>
      </c>
      <c r="F16" s="84" t="s">
        <v>15</v>
      </c>
      <c r="G16" s="85">
        <v>15700</v>
      </c>
      <c r="H16" s="85">
        <v>15700</v>
      </c>
      <c r="I16" s="85">
        <f>702384/100</f>
        <v>7023.84</v>
      </c>
      <c r="J16" s="85">
        <v>12916</v>
      </c>
      <c r="K16" s="103">
        <f t="shared" si="0"/>
        <v>82.267515923566876</v>
      </c>
    </row>
    <row r="17" spans="2:11" ht="15" x14ac:dyDescent="0.2">
      <c r="B17" s="82">
        <v>6172</v>
      </c>
      <c r="C17" s="83">
        <v>5171</v>
      </c>
      <c r="D17" s="83">
        <v>0</v>
      </c>
      <c r="E17" s="83">
        <v>20000000000</v>
      </c>
      <c r="F17" s="84" t="s">
        <v>55</v>
      </c>
      <c r="G17" s="85">
        <v>1200</v>
      </c>
      <c r="H17" s="85">
        <v>1200</v>
      </c>
      <c r="I17" s="85">
        <f>70119/100</f>
        <v>701.19</v>
      </c>
      <c r="J17" s="85">
        <v>5700</v>
      </c>
      <c r="K17" s="103">
        <f t="shared" si="0"/>
        <v>475</v>
      </c>
    </row>
    <row r="18" spans="2:11" ht="15.75" thickBot="1" x14ac:dyDescent="0.25">
      <c r="B18" s="92">
        <v>6172</v>
      </c>
      <c r="C18" s="93">
        <v>5172</v>
      </c>
      <c r="D18" s="93">
        <v>0</v>
      </c>
      <c r="E18" s="93">
        <v>20000000000</v>
      </c>
      <c r="F18" s="94" t="s">
        <v>46</v>
      </c>
      <c r="G18" s="95">
        <v>200</v>
      </c>
      <c r="H18" s="95">
        <v>200</v>
      </c>
      <c r="I18" s="85">
        <f>2683/100</f>
        <v>26.83</v>
      </c>
      <c r="J18" s="85">
        <v>200</v>
      </c>
      <c r="K18" s="103">
        <f t="shared" si="0"/>
        <v>100</v>
      </c>
    </row>
    <row r="19" spans="2:11" ht="15.75" thickBot="1" x14ac:dyDescent="0.25">
      <c r="B19" s="18" t="s">
        <v>25</v>
      </c>
      <c r="C19" s="19"/>
      <c r="D19" s="19"/>
      <c r="E19" s="19"/>
      <c r="F19" s="20"/>
      <c r="G19" s="21">
        <f>SUM(G10:G18)</f>
        <v>23969</v>
      </c>
      <c r="H19" s="21">
        <f>SUM(H10:H18)</f>
        <v>23069</v>
      </c>
      <c r="I19" s="21">
        <f>SUM(I10:I18)</f>
        <v>9871.8700000000008</v>
      </c>
      <c r="J19" s="21">
        <f>SUM(J10:J18)</f>
        <v>23369</v>
      </c>
      <c r="K19" s="106">
        <f>J19/G19*100</f>
        <v>97.496766656931868</v>
      </c>
    </row>
    <row r="20" spans="2:11" x14ac:dyDescent="0.2">
      <c r="F20" s="1"/>
      <c r="G20" s="1"/>
      <c r="H20" s="1"/>
      <c r="I20" s="1"/>
      <c r="J20" s="1"/>
    </row>
    <row r="21" spans="2:11" x14ac:dyDescent="0.2">
      <c r="F21" s="1"/>
      <c r="G21" s="1"/>
      <c r="H21" s="1"/>
      <c r="I21" s="1"/>
      <c r="J21" s="1"/>
    </row>
    <row r="22" spans="2:11" s="123" customFormat="1" ht="14.25" x14ac:dyDescent="0.2">
      <c r="B22" s="122"/>
      <c r="F22" s="185"/>
      <c r="G22" s="185"/>
      <c r="H22" s="185"/>
      <c r="I22" s="185"/>
      <c r="J22" s="185"/>
    </row>
    <row r="23" spans="2:11" s="123" customFormat="1" ht="14.25" x14ac:dyDescent="0.2">
      <c r="F23" s="185"/>
      <c r="G23" s="185"/>
      <c r="H23" s="185"/>
      <c r="I23" s="185"/>
      <c r="J23" s="185"/>
    </row>
    <row r="24" spans="2:11" s="123" customFormat="1" ht="15.75" thickBot="1" x14ac:dyDescent="0.25">
      <c r="B24" s="22" t="s">
        <v>227</v>
      </c>
      <c r="C24" s="22"/>
      <c r="D24" s="22"/>
      <c r="E24" s="22"/>
      <c r="F24" s="23"/>
      <c r="G24" s="23"/>
      <c r="H24" s="24"/>
      <c r="I24" s="24"/>
      <c r="J24" s="24">
        <v>1420</v>
      </c>
      <c r="K24" s="25" t="s">
        <v>27</v>
      </c>
    </row>
    <row r="25" spans="2:11" s="123" customFormat="1" ht="84.75" customHeight="1" thickTop="1" x14ac:dyDescent="0.2">
      <c r="B25" s="265" t="s">
        <v>697</v>
      </c>
      <c r="C25" s="266"/>
      <c r="D25" s="266"/>
      <c r="E25" s="266"/>
      <c r="F25" s="266"/>
      <c r="G25" s="266"/>
      <c r="H25" s="266"/>
      <c r="I25" s="266"/>
      <c r="J25" s="266"/>
      <c r="K25" s="266"/>
    </row>
    <row r="26" spans="2:11" s="123" customFormat="1" ht="15.75" thickBot="1" x14ac:dyDescent="0.25">
      <c r="B26" s="22" t="s">
        <v>228</v>
      </c>
      <c r="C26" s="22"/>
      <c r="D26" s="22"/>
      <c r="E26" s="22"/>
      <c r="F26" s="23"/>
      <c r="G26" s="23"/>
      <c r="H26" s="24"/>
      <c r="I26" s="24"/>
      <c r="J26" s="24">
        <v>400</v>
      </c>
      <c r="K26" s="25" t="s">
        <v>27</v>
      </c>
    </row>
    <row r="27" spans="2:11" s="123" customFormat="1" ht="24.75" customHeight="1" thickTop="1" x14ac:dyDescent="0.2">
      <c r="B27" s="269" t="s">
        <v>366</v>
      </c>
      <c r="C27" s="270"/>
      <c r="D27" s="270"/>
      <c r="E27" s="270"/>
      <c r="F27" s="270"/>
      <c r="G27" s="270"/>
      <c r="H27" s="270"/>
      <c r="I27" s="270"/>
      <c r="J27" s="270"/>
      <c r="K27" s="270"/>
    </row>
    <row r="28" spans="2:11" s="123" customFormat="1" ht="15.75" thickBot="1" x14ac:dyDescent="0.25">
      <c r="B28" s="22" t="s">
        <v>68</v>
      </c>
      <c r="C28" s="22"/>
      <c r="D28" s="22"/>
      <c r="E28" s="22"/>
      <c r="F28" s="23"/>
      <c r="G28" s="23"/>
      <c r="H28" s="24"/>
      <c r="I28" s="24"/>
      <c r="J28" s="24">
        <v>2203</v>
      </c>
      <c r="K28" s="25" t="s">
        <v>27</v>
      </c>
    </row>
    <row r="29" spans="2:11" s="123" customFormat="1" ht="88.5" customHeight="1" thickTop="1" x14ac:dyDescent="0.2">
      <c r="B29" s="265" t="s">
        <v>492</v>
      </c>
      <c r="C29" s="266"/>
      <c r="D29" s="266"/>
      <c r="E29" s="266"/>
      <c r="F29" s="266"/>
      <c r="G29" s="266"/>
      <c r="H29" s="266"/>
      <c r="I29" s="266"/>
      <c r="J29" s="266"/>
      <c r="K29" s="266"/>
    </row>
    <row r="30" spans="2:11" s="123" customFormat="1" ht="15.75" thickBot="1" x14ac:dyDescent="0.25">
      <c r="B30" s="22" t="s">
        <v>51</v>
      </c>
      <c r="C30" s="22"/>
      <c r="D30" s="22"/>
      <c r="E30" s="22"/>
      <c r="F30" s="23"/>
      <c r="G30" s="23"/>
      <c r="H30" s="24"/>
      <c r="I30" s="24"/>
      <c r="J30" s="24">
        <v>250</v>
      </c>
      <c r="K30" s="25" t="s">
        <v>27</v>
      </c>
    </row>
    <row r="31" spans="2:11" s="123" customFormat="1" ht="159.75" customHeight="1" thickTop="1" x14ac:dyDescent="0.2">
      <c r="B31" s="265" t="s">
        <v>698</v>
      </c>
      <c r="C31" s="266"/>
      <c r="D31" s="266"/>
      <c r="E31" s="266"/>
      <c r="F31" s="266"/>
      <c r="G31" s="266"/>
      <c r="H31" s="266"/>
      <c r="I31" s="266"/>
      <c r="J31" s="266"/>
      <c r="K31" s="266"/>
    </row>
    <row r="32" spans="2:11" s="123" customFormat="1" ht="15.75" thickBot="1" x14ac:dyDescent="0.25">
      <c r="B32" s="22" t="s">
        <v>229</v>
      </c>
      <c r="C32" s="22"/>
      <c r="D32" s="22"/>
      <c r="E32" s="22"/>
      <c r="F32" s="23"/>
      <c r="G32" s="23"/>
      <c r="H32" s="24"/>
      <c r="I32" s="24"/>
      <c r="J32" s="24">
        <v>280</v>
      </c>
      <c r="K32" s="25" t="s">
        <v>27</v>
      </c>
    </row>
    <row r="33" spans="2:11" s="123" customFormat="1" ht="153.75" customHeight="1" thickTop="1" x14ac:dyDescent="0.2">
      <c r="B33" s="265" t="s">
        <v>699</v>
      </c>
      <c r="C33" s="266"/>
      <c r="D33" s="266"/>
      <c r="E33" s="266"/>
      <c r="F33" s="266"/>
      <c r="G33" s="266"/>
      <c r="H33" s="266"/>
      <c r="I33" s="266"/>
      <c r="J33" s="266"/>
      <c r="K33" s="266"/>
    </row>
    <row r="34" spans="2:11" s="123" customFormat="1" ht="16.5" customHeight="1" x14ac:dyDescent="0.2">
      <c r="B34" s="191"/>
      <c r="C34" s="187"/>
      <c r="D34" s="187"/>
      <c r="E34" s="187"/>
      <c r="F34" s="187"/>
      <c r="G34" s="187"/>
      <c r="H34" s="187"/>
      <c r="I34" s="187"/>
      <c r="J34" s="187"/>
      <c r="K34" s="187"/>
    </row>
    <row r="35" spans="2:11" s="123" customFormat="1" ht="16.5" customHeight="1" x14ac:dyDescent="0.2">
      <c r="B35" s="191"/>
      <c r="C35" s="187"/>
      <c r="D35" s="187"/>
      <c r="E35" s="187"/>
      <c r="F35" s="187"/>
      <c r="G35" s="187"/>
      <c r="H35" s="187"/>
      <c r="I35" s="187"/>
      <c r="J35" s="187"/>
      <c r="K35" s="187"/>
    </row>
    <row r="36" spans="2:11" s="123" customFormat="1" ht="15.75" thickBot="1" x14ac:dyDescent="0.25">
      <c r="B36" s="22" t="s">
        <v>29</v>
      </c>
      <c r="C36" s="22"/>
      <c r="D36" s="22"/>
      <c r="E36" s="22"/>
      <c r="F36" s="23"/>
      <c r="G36" s="23"/>
      <c r="H36" s="24"/>
      <c r="I36" s="24"/>
      <c r="J36" s="24">
        <v>12916</v>
      </c>
      <c r="K36" s="25" t="s">
        <v>27</v>
      </c>
    </row>
    <row r="37" spans="2:11" s="123" customFormat="1" ht="409.5" customHeight="1" thickTop="1" x14ac:dyDescent="0.2">
      <c r="B37" s="265" t="s">
        <v>637</v>
      </c>
      <c r="C37" s="265"/>
      <c r="D37" s="265"/>
      <c r="E37" s="265"/>
      <c r="F37" s="265"/>
      <c r="G37" s="265"/>
      <c r="H37" s="265"/>
      <c r="I37" s="265"/>
      <c r="J37" s="265"/>
      <c r="K37" s="265"/>
    </row>
    <row r="38" spans="2:11" s="123" customFormat="1" ht="333.75" customHeight="1" x14ac:dyDescent="0.2">
      <c r="B38" s="275"/>
      <c r="C38" s="275"/>
      <c r="D38" s="275"/>
      <c r="E38" s="275"/>
      <c r="F38" s="275"/>
      <c r="G38" s="275"/>
      <c r="H38" s="275"/>
      <c r="I38" s="275"/>
      <c r="J38" s="275"/>
      <c r="K38" s="275"/>
    </row>
    <row r="39" spans="2:11" s="123" customFormat="1" ht="202.5" customHeight="1" x14ac:dyDescent="0.2">
      <c r="B39" s="275"/>
      <c r="C39" s="275"/>
      <c r="D39" s="275"/>
      <c r="E39" s="275"/>
      <c r="F39" s="275"/>
      <c r="G39" s="275"/>
      <c r="H39" s="275"/>
      <c r="I39" s="275"/>
      <c r="J39" s="275"/>
      <c r="K39" s="275"/>
    </row>
    <row r="40" spans="2:11" s="123" customFormat="1" ht="16.5" customHeight="1" x14ac:dyDescent="0.2">
      <c r="B40" s="191"/>
      <c r="C40" s="191"/>
      <c r="D40" s="191"/>
      <c r="E40" s="191"/>
      <c r="F40" s="191"/>
      <c r="G40" s="191"/>
      <c r="H40" s="191"/>
      <c r="I40" s="191"/>
      <c r="J40" s="191"/>
      <c r="K40" s="191"/>
    </row>
    <row r="41" spans="2:11" s="123" customFormat="1" ht="16.5" customHeight="1" x14ac:dyDescent="0.2">
      <c r="B41" s="191"/>
      <c r="C41" s="191"/>
      <c r="D41" s="191"/>
      <c r="E41" s="191"/>
      <c r="F41" s="191"/>
      <c r="G41" s="191"/>
      <c r="H41" s="191"/>
      <c r="I41" s="191"/>
      <c r="J41" s="191"/>
      <c r="K41" s="191"/>
    </row>
    <row r="42" spans="2:11" s="123" customFormat="1" ht="16.5" customHeight="1" x14ac:dyDescent="0.2">
      <c r="B42" s="191"/>
      <c r="C42" s="191"/>
      <c r="D42" s="191"/>
      <c r="E42" s="191"/>
      <c r="F42" s="191"/>
      <c r="G42" s="191"/>
      <c r="H42" s="191"/>
      <c r="I42" s="191"/>
      <c r="J42" s="191"/>
      <c r="K42" s="191"/>
    </row>
    <row r="43" spans="2:11" s="123" customFormat="1" ht="219.75" customHeight="1" x14ac:dyDescent="0.2">
      <c r="B43" s="275" t="s">
        <v>638</v>
      </c>
      <c r="C43" s="280"/>
      <c r="D43" s="280"/>
      <c r="E43" s="280"/>
      <c r="F43" s="280"/>
      <c r="G43" s="280"/>
      <c r="H43" s="280"/>
      <c r="I43" s="280"/>
      <c r="J43" s="280"/>
      <c r="K43" s="280"/>
    </row>
    <row r="44" spans="2:11" s="123" customFormat="1" ht="15.75" thickBot="1" x14ac:dyDescent="0.25">
      <c r="B44" s="22" t="s">
        <v>230</v>
      </c>
      <c r="C44" s="22"/>
      <c r="D44" s="22"/>
      <c r="E44" s="22"/>
      <c r="F44" s="23"/>
      <c r="G44" s="23"/>
      <c r="H44" s="24"/>
      <c r="I44" s="24"/>
      <c r="J44" s="24">
        <v>5700</v>
      </c>
      <c r="K44" s="25" t="s">
        <v>27</v>
      </c>
    </row>
    <row r="45" spans="2:11" s="123" customFormat="1" ht="186" customHeight="1" thickTop="1" x14ac:dyDescent="0.2">
      <c r="B45" s="269" t="s">
        <v>700</v>
      </c>
      <c r="C45" s="270"/>
      <c r="D45" s="270"/>
      <c r="E45" s="270"/>
      <c r="F45" s="270"/>
      <c r="G45" s="270"/>
      <c r="H45" s="270"/>
      <c r="I45" s="270"/>
      <c r="J45" s="270"/>
      <c r="K45" s="270"/>
    </row>
    <row r="46" spans="2:11" s="123" customFormat="1" ht="15.75" thickBot="1" x14ac:dyDescent="0.25">
      <c r="B46" s="22" t="s">
        <v>231</v>
      </c>
      <c r="C46" s="22"/>
      <c r="D46" s="22"/>
      <c r="E46" s="22"/>
      <c r="F46" s="23"/>
      <c r="G46" s="23"/>
      <c r="H46" s="24"/>
      <c r="I46" s="24"/>
      <c r="J46" s="24">
        <v>200</v>
      </c>
      <c r="K46" s="25" t="s">
        <v>27</v>
      </c>
    </row>
    <row r="47" spans="2:11" s="123" customFormat="1" ht="18.95" customHeight="1" thickTop="1" x14ac:dyDescent="0.2">
      <c r="B47" s="269" t="s">
        <v>367</v>
      </c>
      <c r="C47" s="270"/>
      <c r="D47" s="270"/>
      <c r="E47" s="270"/>
      <c r="F47" s="270"/>
      <c r="G47" s="270"/>
      <c r="H47" s="270"/>
      <c r="I47" s="270"/>
      <c r="J47" s="270"/>
      <c r="K47" s="270"/>
    </row>
  </sheetData>
  <mergeCells count="10">
    <mergeCell ref="B43:K43"/>
    <mergeCell ref="B45:K45"/>
    <mergeCell ref="B47:K47"/>
    <mergeCell ref="B2:F2"/>
    <mergeCell ref="B25:K25"/>
    <mergeCell ref="B27:K27"/>
    <mergeCell ref="B29:K29"/>
    <mergeCell ref="B31:K31"/>
    <mergeCell ref="B33:K33"/>
    <mergeCell ref="B37:K39"/>
  </mergeCells>
  <pageMargins left="0.70866141732283472" right="0.70866141732283472" top="0.78740157480314965" bottom="0.78740157480314965" header="0.31496062992125984" footer="0.31496062992125984"/>
  <pageSetup paperSize="9" scale="74" firstPageNumber="40" fitToHeight="9999" orientation="portrait" useFirstPageNumber="1" r:id="rId1"/>
  <headerFooter>
    <oddFooter>&amp;L&amp;"Arial CE,Kurzíva"Zastupitelstvo Olomouckého kraje 16-12-2011
6. - Rozpočet Olomouckého kraje 2012 - návrh rozpočtu 
Příloha č. 3a): Výdaje odborů (kanceláří)&amp;R&amp;"Arial CE,Kurzíva"Strana &amp;P (celkem 167)</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pageSetUpPr fitToPage="1"/>
  </sheetPr>
  <dimension ref="B2:K76"/>
  <sheetViews>
    <sheetView showGridLines="0" view="pageBreakPreview" topLeftCell="A20" zoomScaleNormal="100" zoomScaleSheetLayoutView="100" workbookViewId="0">
      <selection activeCell="J35" sqref="J35"/>
    </sheetView>
  </sheetViews>
  <sheetFormatPr defaultRowHeight="12.75" x14ac:dyDescent="0.2"/>
  <cols>
    <col min="1" max="1" width="0.85546875" customWidth="1"/>
    <col min="2" max="3" width="4.7109375" customWidth="1"/>
    <col min="4" max="4" width="9.7109375" customWidth="1"/>
    <col min="5" max="5" width="11.7109375" customWidth="1"/>
    <col min="6" max="6" width="37.7109375" customWidth="1"/>
    <col min="7" max="10" width="10.7109375" customWidth="1"/>
    <col min="11" max="11" width="7.7109375" style="107" customWidth="1"/>
    <col min="257" max="257" width="0.85546875" customWidth="1"/>
    <col min="258" max="259" width="4.7109375" customWidth="1"/>
    <col min="260" max="260" width="9.7109375" customWidth="1"/>
    <col min="261" max="261" width="11.7109375" customWidth="1"/>
    <col min="262" max="262" width="37.7109375" customWidth="1"/>
    <col min="263" max="266" width="10.7109375" customWidth="1"/>
    <col min="267" max="267" width="7.7109375" customWidth="1"/>
    <col min="513" max="513" width="0.85546875" customWidth="1"/>
    <col min="514" max="515" width="4.7109375" customWidth="1"/>
    <col min="516" max="516" width="9.7109375" customWidth="1"/>
    <col min="517" max="517" width="11.7109375" customWidth="1"/>
    <col min="518" max="518" width="37.7109375" customWidth="1"/>
    <col min="519" max="522" width="10.7109375" customWidth="1"/>
    <col min="523" max="523" width="7.7109375" customWidth="1"/>
    <col min="769" max="769" width="0.85546875" customWidth="1"/>
    <col min="770" max="771" width="4.7109375" customWidth="1"/>
    <col min="772" max="772" width="9.7109375" customWidth="1"/>
    <col min="773" max="773" width="11.7109375" customWidth="1"/>
    <col min="774" max="774" width="37.7109375" customWidth="1"/>
    <col min="775" max="778" width="10.7109375" customWidth="1"/>
    <col min="779" max="779" width="7.7109375" customWidth="1"/>
    <col min="1025" max="1025" width="0.85546875" customWidth="1"/>
    <col min="1026" max="1027" width="4.7109375" customWidth="1"/>
    <col min="1028" max="1028" width="9.7109375" customWidth="1"/>
    <col min="1029" max="1029" width="11.7109375" customWidth="1"/>
    <col min="1030" max="1030" width="37.7109375" customWidth="1"/>
    <col min="1031" max="1034" width="10.7109375" customWidth="1"/>
    <col min="1035" max="1035" width="7.7109375" customWidth="1"/>
    <col min="1281" max="1281" width="0.85546875" customWidth="1"/>
    <col min="1282" max="1283" width="4.7109375" customWidth="1"/>
    <col min="1284" max="1284" width="9.7109375" customWidth="1"/>
    <col min="1285" max="1285" width="11.7109375" customWidth="1"/>
    <col min="1286" max="1286" width="37.7109375" customWidth="1"/>
    <col min="1287" max="1290" width="10.7109375" customWidth="1"/>
    <col min="1291" max="1291" width="7.7109375" customWidth="1"/>
    <col min="1537" max="1537" width="0.85546875" customWidth="1"/>
    <col min="1538" max="1539" width="4.7109375" customWidth="1"/>
    <col min="1540" max="1540" width="9.7109375" customWidth="1"/>
    <col min="1541" max="1541" width="11.7109375" customWidth="1"/>
    <col min="1542" max="1542" width="37.7109375" customWidth="1"/>
    <col min="1543" max="1546" width="10.7109375" customWidth="1"/>
    <col min="1547" max="1547" width="7.7109375" customWidth="1"/>
    <col min="1793" max="1793" width="0.85546875" customWidth="1"/>
    <col min="1794" max="1795" width="4.7109375" customWidth="1"/>
    <col min="1796" max="1796" width="9.7109375" customWidth="1"/>
    <col min="1797" max="1797" width="11.7109375" customWidth="1"/>
    <col min="1798" max="1798" width="37.7109375" customWidth="1"/>
    <col min="1799" max="1802" width="10.7109375" customWidth="1"/>
    <col min="1803" max="1803" width="7.7109375" customWidth="1"/>
    <col min="2049" max="2049" width="0.85546875" customWidth="1"/>
    <col min="2050" max="2051" width="4.7109375" customWidth="1"/>
    <col min="2052" max="2052" width="9.7109375" customWidth="1"/>
    <col min="2053" max="2053" width="11.7109375" customWidth="1"/>
    <col min="2054" max="2054" width="37.7109375" customWidth="1"/>
    <col min="2055" max="2058" width="10.7109375" customWidth="1"/>
    <col min="2059" max="2059" width="7.7109375" customWidth="1"/>
    <col min="2305" max="2305" width="0.85546875" customWidth="1"/>
    <col min="2306" max="2307" width="4.7109375" customWidth="1"/>
    <col min="2308" max="2308" width="9.7109375" customWidth="1"/>
    <col min="2309" max="2309" width="11.7109375" customWidth="1"/>
    <col min="2310" max="2310" width="37.7109375" customWidth="1"/>
    <col min="2311" max="2314" width="10.7109375" customWidth="1"/>
    <col min="2315" max="2315" width="7.7109375" customWidth="1"/>
    <col min="2561" max="2561" width="0.85546875" customWidth="1"/>
    <col min="2562" max="2563" width="4.7109375" customWidth="1"/>
    <col min="2564" max="2564" width="9.7109375" customWidth="1"/>
    <col min="2565" max="2565" width="11.7109375" customWidth="1"/>
    <col min="2566" max="2566" width="37.7109375" customWidth="1"/>
    <col min="2567" max="2570" width="10.7109375" customWidth="1"/>
    <col min="2571" max="2571" width="7.7109375" customWidth="1"/>
    <col min="2817" max="2817" width="0.85546875" customWidth="1"/>
    <col min="2818" max="2819" width="4.7109375" customWidth="1"/>
    <col min="2820" max="2820" width="9.7109375" customWidth="1"/>
    <col min="2821" max="2821" width="11.7109375" customWidth="1"/>
    <col min="2822" max="2822" width="37.7109375" customWidth="1"/>
    <col min="2823" max="2826" width="10.7109375" customWidth="1"/>
    <col min="2827" max="2827" width="7.7109375" customWidth="1"/>
    <col min="3073" max="3073" width="0.85546875" customWidth="1"/>
    <col min="3074" max="3075" width="4.7109375" customWidth="1"/>
    <col min="3076" max="3076" width="9.7109375" customWidth="1"/>
    <col min="3077" max="3077" width="11.7109375" customWidth="1"/>
    <col min="3078" max="3078" width="37.7109375" customWidth="1"/>
    <col min="3079" max="3082" width="10.7109375" customWidth="1"/>
    <col min="3083" max="3083" width="7.7109375" customWidth="1"/>
    <col min="3329" max="3329" width="0.85546875" customWidth="1"/>
    <col min="3330" max="3331" width="4.7109375" customWidth="1"/>
    <col min="3332" max="3332" width="9.7109375" customWidth="1"/>
    <col min="3333" max="3333" width="11.7109375" customWidth="1"/>
    <col min="3334" max="3334" width="37.7109375" customWidth="1"/>
    <col min="3335" max="3338" width="10.7109375" customWidth="1"/>
    <col min="3339" max="3339" width="7.7109375" customWidth="1"/>
    <col min="3585" max="3585" width="0.85546875" customWidth="1"/>
    <col min="3586" max="3587" width="4.7109375" customWidth="1"/>
    <col min="3588" max="3588" width="9.7109375" customWidth="1"/>
    <col min="3589" max="3589" width="11.7109375" customWidth="1"/>
    <col min="3590" max="3590" width="37.7109375" customWidth="1"/>
    <col min="3591" max="3594" width="10.7109375" customWidth="1"/>
    <col min="3595" max="3595" width="7.7109375" customWidth="1"/>
    <col min="3841" max="3841" width="0.85546875" customWidth="1"/>
    <col min="3842" max="3843" width="4.7109375" customWidth="1"/>
    <col min="3844" max="3844" width="9.7109375" customWidth="1"/>
    <col min="3845" max="3845" width="11.7109375" customWidth="1"/>
    <col min="3846" max="3846" width="37.7109375" customWidth="1"/>
    <col min="3847" max="3850" width="10.7109375" customWidth="1"/>
    <col min="3851" max="3851" width="7.7109375" customWidth="1"/>
    <col min="4097" max="4097" width="0.85546875" customWidth="1"/>
    <col min="4098" max="4099" width="4.7109375" customWidth="1"/>
    <col min="4100" max="4100" width="9.7109375" customWidth="1"/>
    <col min="4101" max="4101" width="11.7109375" customWidth="1"/>
    <col min="4102" max="4102" width="37.7109375" customWidth="1"/>
    <col min="4103" max="4106" width="10.7109375" customWidth="1"/>
    <col min="4107" max="4107" width="7.7109375" customWidth="1"/>
    <col min="4353" max="4353" width="0.85546875" customWidth="1"/>
    <col min="4354" max="4355" width="4.7109375" customWidth="1"/>
    <col min="4356" max="4356" width="9.7109375" customWidth="1"/>
    <col min="4357" max="4357" width="11.7109375" customWidth="1"/>
    <col min="4358" max="4358" width="37.7109375" customWidth="1"/>
    <col min="4359" max="4362" width="10.7109375" customWidth="1"/>
    <col min="4363" max="4363" width="7.7109375" customWidth="1"/>
    <col min="4609" max="4609" width="0.85546875" customWidth="1"/>
    <col min="4610" max="4611" width="4.7109375" customWidth="1"/>
    <col min="4612" max="4612" width="9.7109375" customWidth="1"/>
    <col min="4613" max="4613" width="11.7109375" customWidth="1"/>
    <col min="4614" max="4614" width="37.7109375" customWidth="1"/>
    <col min="4615" max="4618" width="10.7109375" customWidth="1"/>
    <col min="4619" max="4619" width="7.7109375" customWidth="1"/>
    <col min="4865" max="4865" width="0.85546875" customWidth="1"/>
    <col min="4866" max="4867" width="4.7109375" customWidth="1"/>
    <col min="4868" max="4868" width="9.7109375" customWidth="1"/>
    <col min="4869" max="4869" width="11.7109375" customWidth="1"/>
    <col min="4870" max="4870" width="37.7109375" customWidth="1"/>
    <col min="4871" max="4874" width="10.7109375" customWidth="1"/>
    <col min="4875" max="4875" width="7.7109375" customWidth="1"/>
    <col min="5121" max="5121" width="0.85546875" customWidth="1"/>
    <col min="5122" max="5123" width="4.7109375" customWidth="1"/>
    <col min="5124" max="5124" width="9.7109375" customWidth="1"/>
    <col min="5125" max="5125" width="11.7109375" customWidth="1"/>
    <col min="5126" max="5126" width="37.7109375" customWidth="1"/>
    <col min="5127" max="5130" width="10.7109375" customWidth="1"/>
    <col min="5131" max="5131" width="7.7109375" customWidth="1"/>
    <col min="5377" max="5377" width="0.85546875" customWidth="1"/>
    <col min="5378" max="5379" width="4.7109375" customWidth="1"/>
    <col min="5380" max="5380" width="9.7109375" customWidth="1"/>
    <col min="5381" max="5381" width="11.7109375" customWidth="1"/>
    <col min="5382" max="5382" width="37.7109375" customWidth="1"/>
    <col min="5383" max="5386" width="10.7109375" customWidth="1"/>
    <col min="5387" max="5387" width="7.7109375" customWidth="1"/>
    <col min="5633" max="5633" width="0.85546875" customWidth="1"/>
    <col min="5634" max="5635" width="4.7109375" customWidth="1"/>
    <col min="5636" max="5636" width="9.7109375" customWidth="1"/>
    <col min="5637" max="5637" width="11.7109375" customWidth="1"/>
    <col min="5638" max="5638" width="37.7109375" customWidth="1"/>
    <col min="5639" max="5642" width="10.7109375" customWidth="1"/>
    <col min="5643" max="5643" width="7.7109375" customWidth="1"/>
    <col min="5889" max="5889" width="0.85546875" customWidth="1"/>
    <col min="5890" max="5891" width="4.7109375" customWidth="1"/>
    <col min="5892" max="5892" width="9.7109375" customWidth="1"/>
    <col min="5893" max="5893" width="11.7109375" customWidth="1"/>
    <col min="5894" max="5894" width="37.7109375" customWidth="1"/>
    <col min="5895" max="5898" width="10.7109375" customWidth="1"/>
    <col min="5899" max="5899" width="7.7109375" customWidth="1"/>
    <col min="6145" max="6145" width="0.85546875" customWidth="1"/>
    <col min="6146" max="6147" width="4.7109375" customWidth="1"/>
    <col min="6148" max="6148" width="9.7109375" customWidth="1"/>
    <col min="6149" max="6149" width="11.7109375" customWidth="1"/>
    <col min="6150" max="6150" width="37.7109375" customWidth="1"/>
    <col min="6151" max="6154" width="10.7109375" customWidth="1"/>
    <col min="6155" max="6155" width="7.7109375" customWidth="1"/>
    <col min="6401" max="6401" width="0.85546875" customWidth="1"/>
    <col min="6402" max="6403" width="4.7109375" customWidth="1"/>
    <col min="6404" max="6404" width="9.7109375" customWidth="1"/>
    <col min="6405" max="6405" width="11.7109375" customWidth="1"/>
    <col min="6406" max="6406" width="37.7109375" customWidth="1"/>
    <col min="6407" max="6410" width="10.7109375" customWidth="1"/>
    <col min="6411" max="6411" width="7.7109375" customWidth="1"/>
    <col min="6657" max="6657" width="0.85546875" customWidth="1"/>
    <col min="6658" max="6659" width="4.7109375" customWidth="1"/>
    <col min="6660" max="6660" width="9.7109375" customWidth="1"/>
    <col min="6661" max="6661" width="11.7109375" customWidth="1"/>
    <col min="6662" max="6662" width="37.7109375" customWidth="1"/>
    <col min="6663" max="6666" width="10.7109375" customWidth="1"/>
    <col min="6667" max="6667" width="7.7109375" customWidth="1"/>
    <col min="6913" max="6913" width="0.85546875" customWidth="1"/>
    <col min="6914" max="6915" width="4.7109375" customWidth="1"/>
    <col min="6916" max="6916" width="9.7109375" customWidth="1"/>
    <col min="6917" max="6917" width="11.7109375" customWidth="1"/>
    <col min="6918" max="6918" width="37.7109375" customWidth="1"/>
    <col min="6919" max="6922" width="10.7109375" customWidth="1"/>
    <col min="6923" max="6923" width="7.7109375" customWidth="1"/>
    <col min="7169" max="7169" width="0.85546875" customWidth="1"/>
    <col min="7170" max="7171" width="4.7109375" customWidth="1"/>
    <col min="7172" max="7172" width="9.7109375" customWidth="1"/>
    <col min="7173" max="7173" width="11.7109375" customWidth="1"/>
    <col min="7174" max="7174" width="37.7109375" customWidth="1"/>
    <col min="7175" max="7178" width="10.7109375" customWidth="1"/>
    <col min="7179" max="7179" width="7.7109375" customWidth="1"/>
    <col min="7425" max="7425" width="0.85546875" customWidth="1"/>
    <col min="7426" max="7427" width="4.7109375" customWidth="1"/>
    <col min="7428" max="7428" width="9.7109375" customWidth="1"/>
    <col min="7429" max="7429" width="11.7109375" customWidth="1"/>
    <col min="7430" max="7430" width="37.7109375" customWidth="1"/>
    <col min="7431" max="7434" width="10.7109375" customWidth="1"/>
    <col min="7435" max="7435" width="7.7109375" customWidth="1"/>
    <col min="7681" max="7681" width="0.85546875" customWidth="1"/>
    <col min="7682" max="7683" width="4.7109375" customWidth="1"/>
    <col min="7684" max="7684" width="9.7109375" customWidth="1"/>
    <col min="7685" max="7685" width="11.7109375" customWidth="1"/>
    <col min="7686" max="7686" width="37.7109375" customWidth="1"/>
    <col min="7687" max="7690" width="10.7109375" customWidth="1"/>
    <col min="7691" max="7691" width="7.7109375" customWidth="1"/>
    <col min="7937" max="7937" width="0.85546875" customWidth="1"/>
    <col min="7938" max="7939" width="4.7109375" customWidth="1"/>
    <col min="7940" max="7940" width="9.7109375" customWidth="1"/>
    <col min="7941" max="7941" width="11.7109375" customWidth="1"/>
    <col min="7942" max="7942" width="37.7109375" customWidth="1"/>
    <col min="7943" max="7946" width="10.7109375" customWidth="1"/>
    <col min="7947" max="7947" width="7.7109375" customWidth="1"/>
    <col min="8193" max="8193" width="0.85546875" customWidth="1"/>
    <col min="8194" max="8195" width="4.7109375" customWidth="1"/>
    <col min="8196" max="8196" width="9.7109375" customWidth="1"/>
    <col min="8197" max="8197" width="11.7109375" customWidth="1"/>
    <col min="8198" max="8198" width="37.7109375" customWidth="1"/>
    <col min="8199" max="8202" width="10.7109375" customWidth="1"/>
    <col min="8203" max="8203" width="7.7109375" customWidth="1"/>
    <col min="8449" max="8449" width="0.85546875" customWidth="1"/>
    <col min="8450" max="8451" width="4.7109375" customWidth="1"/>
    <col min="8452" max="8452" width="9.7109375" customWidth="1"/>
    <col min="8453" max="8453" width="11.7109375" customWidth="1"/>
    <col min="8454" max="8454" width="37.7109375" customWidth="1"/>
    <col min="8455" max="8458" width="10.7109375" customWidth="1"/>
    <col min="8459" max="8459" width="7.7109375" customWidth="1"/>
    <col min="8705" max="8705" width="0.85546875" customWidth="1"/>
    <col min="8706" max="8707" width="4.7109375" customWidth="1"/>
    <col min="8708" max="8708" width="9.7109375" customWidth="1"/>
    <col min="8709" max="8709" width="11.7109375" customWidth="1"/>
    <col min="8710" max="8710" width="37.7109375" customWidth="1"/>
    <col min="8711" max="8714" width="10.7109375" customWidth="1"/>
    <col min="8715" max="8715" width="7.7109375" customWidth="1"/>
    <col min="8961" max="8961" width="0.85546875" customWidth="1"/>
    <col min="8962" max="8963" width="4.7109375" customWidth="1"/>
    <col min="8964" max="8964" width="9.7109375" customWidth="1"/>
    <col min="8965" max="8965" width="11.7109375" customWidth="1"/>
    <col min="8966" max="8966" width="37.7109375" customWidth="1"/>
    <col min="8967" max="8970" width="10.7109375" customWidth="1"/>
    <col min="8971" max="8971" width="7.7109375" customWidth="1"/>
    <col min="9217" max="9217" width="0.85546875" customWidth="1"/>
    <col min="9218" max="9219" width="4.7109375" customWidth="1"/>
    <col min="9220" max="9220" width="9.7109375" customWidth="1"/>
    <col min="9221" max="9221" width="11.7109375" customWidth="1"/>
    <col min="9222" max="9222" width="37.7109375" customWidth="1"/>
    <col min="9223" max="9226" width="10.7109375" customWidth="1"/>
    <col min="9227" max="9227" width="7.7109375" customWidth="1"/>
    <col min="9473" max="9473" width="0.85546875" customWidth="1"/>
    <col min="9474" max="9475" width="4.7109375" customWidth="1"/>
    <col min="9476" max="9476" width="9.7109375" customWidth="1"/>
    <col min="9477" max="9477" width="11.7109375" customWidth="1"/>
    <col min="9478" max="9478" width="37.7109375" customWidth="1"/>
    <col min="9479" max="9482" width="10.7109375" customWidth="1"/>
    <col min="9483" max="9483" width="7.7109375" customWidth="1"/>
    <col min="9729" max="9729" width="0.85546875" customWidth="1"/>
    <col min="9730" max="9731" width="4.7109375" customWidth="1"/>
    <col min="9732" max="9732" width="9.7109375" customWidth="1"/>
    <col min="9733" max="9733" width="11.7109375" customWidth="1"/>
    <col min="9734" max="9734" width="37.7109375" customWidth="1"/>
    <col min="9735" max="9738" width="10.7109375" customWidth="1"/>
    <col min="9739" max="9739" width="7.7109375" customWidth="1"/>
    <col min="9985" max="9985" width="0.85546875" customWidth="1"/>
    <col min="9986" max="9987" width="4.7109375" customWidth="1"/>
    <col min="9988" max="9988" width="9.7109375" customWidth="1"/>
    <col min="9989" max="9989" width="11.7109375" customWidth="1"/>
    <col min="9990" max="9990" width="37.7109375" customWidth="1"/>
    <col min="9991" max="9994" width="10.7109375" customWidth="1"/>
    <col min="9995" max="9995" width="7.7109375" customWidth="1"/>
    <col min="10241" max="10241" width="0.85546875" customWidth="1"/>
    <col min="10242" max="10243" width="4.7109375" customWidth="1"/>
    <col min="10244" max="10244" width="9.7109375" customWidth="1"/>
    <col min="10245" max="10245" width="11.7109375" customWidth="1"/>
    <col min="10246" max="10246" width="37.7109375" customWidth="1"/>
    <col min="10247" max="10250" width="10.7109375" customWidth="1"/>
    <col min="10251" max="10251" width="7.7109375" customWidth="1"/>
    <col min="10497" max="10497" width="0.85546875" customWidth="1"/>
    <col min="10498" max="10499" width="4.7109375" customWidth="1"/>
    <col min="10500" max="10500" width="9.7109375" customWidth="1"/>
    <col min="10501" max="10501" width="11.7109375" customWidth="1"/>
    <col min="10502" max="10502" width="37.7109375" customWidth="1"/>
    <col min="10503" max="10506" width="10.7109375" customWidth="1"/>
    <col min="10507" max="10507" width="7.7109375" customWidth="1"/>
    <col min="10753" max="10753" width="0.85546875" customWidth="1"/>
    <col min="10754" max="10755" width="4.7109375" customWidth="1"/>
    <col min="10756" max="10756" width="9.7109375" customWidth="1"/>
    <col min="10757" max="10757" width="11.7109375" customWidth="1"/>
    <col min="10758" max="10758" width="37.7109375" customWidth="1"/>
    <col min="10759" max="10762" width="10.7109375" customWidth="1"/>
    <col min="10763" max="10763" width="7.7109375" customWidth="1"/>
    <col min="11009" max="11009" width="0.85546875" customWidth="1"/>
    <col min="11010" max="11011" width="4.7109375" customWidth="1"/>
    <col min="11012" max="11012" width="9.7109375" customWidth="1"/>
    <col min="11013" max="11013" width="11.7109375" customWidth="1"/>
    <col min="11014" max="11014" width="37.7109375" customWidth="1"/>
    <col min="11015" max="11018" width="10.7109375" customWidth="1"/>
    <col min="11019" max="11019" width="7.7109375" customWidth="1"/>
    <col min="11265" max="11265" width="0.85546875" customWidth="1"/>
    <col min="11266" max="11267" width="4.7109375" customWidth="1"/>
    <col min="11268" max="11268" width="9.7109375" customWidth="1"/>
    <col min="11269" max="11269" width="11.7109375" customWidth="1"/>
    <col min="11270" max="11270" width="37.7109375" customWidth="1"/>
    <col min="11271" max="11274" width="10.7109375" customWidth="1"/>
    <col min="11275" max="11275" width="7.7109375" customWidth="1"/>
    <col min="11521" max="11521" width="0.85546875" customWidth="1"/>
    <col min="11522" max="11523" width="4.7109375" customWidth="1"/>
    <col min="11524" max="11524" width="9.7109375" customWidth="1"/>
    <col min="11525" max="11525" width="11.7109375" customWidth="1"/>
    <col min="11526" max="11526" width="37.7109375" customWidth="1"/>
    <col min="11527" max="11530" width="10.7109375" customWidth="1"/>
    <col min="11531" max="11531" width="7.7109375" customWidth="1"/>
    <col min="11777" max="11777" width="0.85546875" customWidth="1"/>
    <col min="11778" max="11779" width="4.7109375" customWidth="1"/>
    <col min="11780" max="11780" width="9.7109375" customWidth="1"/>
    <col min="11781" max="11781" width="11.7109375" customWidth="1"/>
    <col min="11782" max="11782" width="37.7109375" customWidth="1"/>
    <col min="11783" max="11786" width="10.7109375" customWidth="1"/>
    <col min="11787" max="11787" width="7.7109375" customWidth="1"/>
    <col min="12033" max="12033" width="0.85546875" customWidth="1"/>
    <col min="12034" max="12035" width="4.7109375" customWidth="1"/>
    <col min="12036" max="12036" width="9.7109375" customWidth="1"/>
    <col min="12037" max="12037" width="11.7109375" customWidth="1"/>
    <col min="12038" max="12038" width="37.7109375" customWidth="1"/>
    <col min="12039" max="12042" width="10.7109375" customWidth="1"/>
    <col min="12043" max="12043" width="7.7109375" customWidth="1"/>
    <col min="12289" max="12289" width="0.85546875" customWidth="1"/>
    <col min="12290" max="12291" width="4.7109375" customWidth="1"/>
    <col min="12292" max="12292" width="9.7109375" customWidth="1"/>
    <col min="12293" max="12293" width="11.7109375" customWidth="1"/>
    <col min="12294" max="12294" width="37.7109375" customWidth="1"/>
    <col min="12295" max="12298" width="10.7109375" customWidth="1"/>
    <col min="12299" max="12299" width="7.7109375" customWidth="1"/>
    <col min="12545" max="12545" width="0.85546875" customWidth="1"/>
    <col min="12546" max="12547" width="4.7109375" customWidth="1"/>
    <col min="12548" max="12548" width="9.7109375" customWidth="1"/>
    <col min="12549" max="12549" width="11.7109375" customWidth="1"/>
    <col min="12550" max="12550" width="37.7109375" customWidth="1"/>
    <col min="12551" max="12554" width="10.7109375" customWidth="1"/>
    <col min="12555" max="12555" width="7.7109375" customWidth="1"/>
    <col min="12801" max="12801" width="0.85546875" customWidth="1"/>
    <col min="12802" max="12803" width="4.7109375" customWidth="1"/>
    <col min="12804" max="12804" width="9.7109375" customWidth="1"/>
    <col min="12805" max="12805" width="11.7109375" customWidth="1"/>
    <col min="12806" max="12806" width="37.7109375" customWidth="1"/>
    <col min="12807" max="12810" width="10.7109375" customWidth="1"/>
    <col min="12811" max="12811" width="7.7109375" customWidth="1"/>
    <col min="13057" max="13057" width="0.85546875" customWidth="1"/>
    <col min="13058" max="13059" width="4.7109375" customWidth="1"/>
    <col min="13060" max="13060" width="9.7109375" customWidth="1"/>
    <col min="13061" max="13061" width="11.7109375" customWidth="1"/>
    <col min="13062" max="13062" width="37.7109375" customWidth="1"/>
    <col min="13063" max="13066" width="10.7109375" customWidth="1"/>
    <col min="13067" max="13067" width="7.7109375" customWidth="1"/>
    <col min="13313" max="13313" width="0.85546875" customWidth="1"/>
    <col min="13314" max="13315" width="4.7109375" customWidth="1"/>
    <col min="13316" max="13316" width="9.7109375" customWidth="1"/>
    <col min="13317" max="13317" width="11.7109375" customWidth="1"/>
    <col min="13318" max="13318" width="37.7109375" customWidth="1"/>
    <col min="13319" max="13322" width="10.7109375" customWidth="1"/>
    <col min="13323" max="13323" width="7.7109375" customWidth="1"/>
    <col min="13569" max="13569" width="0.85546875" customWidth="1"/>
    <col min="13570" max="13571" width="4.7109375" customWidth="1"/>
    <col min="13572" max="13572" width="9.7109375" customWidth="1"/>
    <col min="13573" max="13573" width="11.7109375" customWidth="1"/>
    <col min="13574" max="13574" width="37.7109375" customWidth="1"/>
    <col min="13575" max="13578" width="10.7109375" customWidth="1"/>
    <col min="13579" max="13579" width="7.7109375" customWidth="1"/>
    <col min="13825" max="13825" width="0.85546875" customWidth="1"/>
    <col min="13826" max="13827" width="4.7109375" customWidth="1"/>
    <col min="13828" max="13828" width="9.7109375" customWidth="1"/>
    <col min="13829" max="13829" width="11.7109375" customWidth="1"/>
    <col min="13830" max="13830" width="37.7109375" customWidth="1"/>
    <col min="13831" max="13834" width="10.7109375" customWidth="1"/>
    <col min="13835" max="13835" width="7.7109375" customWidth="1"/>
    <col min="14081" max="14081" width="0.85546875" customWidth="1"/>
    <col min="14082" max="14083" width="4.7109375" customWidth="1"/>
    <col min="14084" max="14084" width="9.7109375" customWidth="1"/>
    <col min="14085" max="14085" width="11.7109375" customWidth="1"/>
    <col min="14086" max="14086" width="37.7109375" customWidth="1"/>
    <col min="14087" max="14090" width="10.7109375" customWidth="1"/>
    <col min="14091" max="14091" width="7.7109375" customWidth="1"/>
    <col min="14337" max="14337" width="0.85546875" customWidth="1"/>
    <col min="14338" max="14339" width="4.7109375" customWidth="1"/>
    <col min="14340" max="14340" width="9.7109375" customWidth="1"/>
    <col min="14341" max="14341" width="11.7109375" customWidth="1"/>
    <col min="14342" max="14342" width="37.7109375" customWidth="1"/>
    <col min="14343" max="14346" width="10.7109375" customWidth="1"/>
    <col min="14347" max="14347" width="7.7109375" customWidth="1"/>
    <col min="14593" max="14593" width="0.85546875" customWidth="1"/>
    <col min="14594" max="14595" width="4.7109375" customWidth="1"/>
    <col min="14596" max="14596" width="9.7109375" customWidth="1"/>
    <col min="14597" max="14597" width="11.7109375" customWidth="1"/>
    <col min="14598" max="14598" width="37.7109375" customWidth="1"/>
    <col min="14599" max="14602" width="10.7109375" customWidth="1"/>
    <col min="14603" max="14603" width="7.7109375" customWidth="1"/>
    <col min="14849" max="14849" width="0.85546875" customWidth="1"/>
    <col min="14850" max="14851" width="4.7109375" customWidth="1"/>
    <col min="14852" max="14852" width="9.7109375" customWidth="1"/>
    <col min="14853" max="14853" width="11.7109375" customWidth="1"/>
    <col min="14854" max="14854" width="37.7109375" customWidth="1"/>
    <col min="14855" max="14858" width="10.7109375" customWidth="1"/>
    <col min="14859" max="14859" width="7.7109375" customWidth="1"/>
    <col min="15105" max="15105" width="0.85546875" customWidth="1"/>
    <col min="15106" max="15107" width="4.7109375" customWidth="1"/>
    <col min="15108" max="15108" width="9.7109375" customWidth="1"/>
    <col min="15109" max="15109" width="11.7109375" customWidth="1"/>
    <col min="15110" max="15110" width="37.7109375" customWidth="1"/>
    <col min="15111" max="15114" width="10.7109375" customWidth="1"/>
    <col min="15115" max="15115" width="7.7109375" customWidth="1"/>
    <col min="15361" max="15361" width="0.85546875" customWidth="1"/>
    <col min="15362" max="15363" width="4.7109375" customWidth="1"/>
    <col min="15364" max="15364" width="9.7109375" customWidth="1"/>
    <col min="15365" max="15365" width="11.7109375" customWidth="1"/>
    <col min="15366" max="15366" width="37.7109375" customWidth="1"/>
    <col min="15367" max="15370" width="10.7109375" customWidth="1"/>
    <col min="15371" max="15371" width="7.7109375" customWidth="1"/>
    <col min="15617" max="15617" width="0.85546875" customWidth="1"/>
    <col min="15618" max="15619" width="4.7109375" customWidth="1"/>
    <col min="15620" max="15620" width="9.7109375" customWidth="1"/>
    <col min="15621" max="15621" width="11.7109375" customWidth="1"/>
    <col min="15622" max="15622" width="37.7109375" customWidth="1"/>
    <col min="15623" max="15626" width="10.7109375" customWidth="1"/>
    <col min="15627" max="15627" width="7.7109375" customWidth="1"/>
    <col min="15873" max="15873" width="0.85546875" customWidth="1"/>
    <col min="15874" max="15875" width="4.7109375" customWidth="1"/>
    <col min="15876" max="15876" width="9.7109375" customWidth="1"/>
    <col min="15877" max="15877" width="11.7109375" customWidth="1"/>
    <col min="15878" max="15878" width="37.7109375" customWidth="1"/>
    <col min="15879" max="15882" width="10.7109375" customWidth="1"/>
    <col min="15883" max="15883" width="7.7109375" customWidth="1"/>
    <col min="16129" max="16129" width="0.85546875" customWidth="1"/>
    <col min="16130" max="16131" width="4.7109375" customWidth="1"/>
    <col min="16132" max="16132" width="9.7109375" customWidth="1"/>
    <col min="16133" max="16133" width="11.7109375" customWidth="1"/>
    <col min="16134" max="16134" width="37.7109375" customWidth="1"/>
    <col min="16135" max="16138" width="10.7109375" customWidth="1"/>
    <col min="16139" max="16139" width="7.7109375" customWidth="1"/>
  </cols>
  <sheetData>
    <row r="2" spans="2:11" ht="27" customHeight="1" x14ac:dyDescent="0.2">
      <c r="B2" s="267" t="s">
        <v>217</v>
      </c>
      <c r="C2" s="268"/>
      <c r="D2" s="268"/>
      <c r="E2" s="268"/>
      <c r="F2" s="268"/>
      <c r="G2" s="3"/>
      <c r="H2" s="3"/>
      <c r="I2" s="3"/>
      <c r="J2" s="3"/>
      <c r="K2" s="98" t="s">
        <v>218</v>
      </c>
    </row>
    <row r="5" spans="2:11" s="123" customFormat="1" ht="15" x14ac:dyDescent="0.2">
      <c r="B5" s="188" t="s">
        <v>0</v>
      </c>
      <c r="C5" s="188"/>
      <c r="D5" s="188" t="s">
        <v>219</v>
      </c>
      <c r="E5" s="189"/>
      <c r="F5" s="189"/>
      <c r="G5" s="189"/>
      <c r="H5" s="189"/>
      <c r="I5" s="189"/>
      <c r="J5" s="189"/>
      <c r="K5" s="190"/>
    </row>
    <row r="6" spans="2:11" s="123" customFormat="1" ht="15" x14ac:dyDescent="0.2">
      <c r="B6" s="188"/>
      <c r="C6" s="188"/>
      <c r="D6" s="188" t="s">
        <v>33</v>
      </c>
      <c r="E6" s="189"/>
      <c r="F6" s="189"/>
      <c r="G6" s="189"/>
      <c r="H6" s="189"/>
      <c r="I6" s="189"/>
      <c r="J6" s="189"/>
      <c r="K6" s="190"/>
    </row>
    <row r="7" spans="2:11" ht="13.5" thickBot="1" x14ac:dyDescent="0.25">
      <c r="B7" s="5"/>
      <c r="C7" s="5"/>
      <c r="D7" s="5"/>
      <c r="E7" s="5"/>
      <c r="F7" s="5"/>
      <c r="G7" s="5"/>
      <c r="H7" s="5"/>
      <c r="I7" s="5"/>
      <c r="J7" s="5"/>
      <c r="K7" s="99" t="s">
        <v>3</v>
      </c>
    </row>
    <row r="8" spans="2:11" ht="35.1" customHeight="1" x14ac:dyDescent="0.2">
      <c r="B8" s="7" t="s">
        <v>4</v>
      </c>
      <c r="C8" s="8" t="s">
        <v>5</v>
      </c>
      <c r="D8" s="8" t="s">
        <v>6</v>
      </c>
      <c r="E8" s="8" t="s">
        <v>7</v>
      </c>
      <c r="F8" s="6" t="s">
        <v>8</v>
      </c>
      <c r="G8" s="6" t="s">
        <v>9</v>
      </c>
      <c r="H8" s="6" t="s">
        <v>10</v>
      </c>
      <c r="I8" s="6" t="s">
        <v>11</v>
      </c>
      <c r="J8" s="6" t="s">
        <v>12</v>
      </c>
      <c r="K8" s="100" t="s">
        <v>13</v>
      </c>
    </row>
    <row r="9" spans="2:11" ht="13.5" thickBot="1" x14ac:dyDescent="0.25">
      <c r="B9" s="10">
        <v>1</v>
      </c>
      <c r="C9" s="11">
        <v>2</v>
      </c>
      <c r="D9" s="11">
        <v>3</v>
      </c>
      <c r="E9" s="11">
        <v>4</v>
      </c>
      <c r="F9" s="12">
        <v>5</v>
      </c>
      <c r="G9" s="12">
        <v>6</v>
      </c>
      <c r="H9" s="12">
        <v>7</v>
      </c>
      <c r="I9" s="12">
        <v>8</v>
      </c>
      <c r="J9" s="12">
        <v>9</v>
      </c>
      <c r="K9" s="101" t="s">
        <v>14</v>
      </c>
    </row>
    <row r="10" spans="2:11" ht="25.5" x14ac:dyDescent="0.2">
      <c r="B10" s="14">
        <v>3636</v>
      </c>
      <c r="C10" s="15">
        <v>5325</v>
      </c>
      <c r="D10" s="15">
        <v>0</v>
      </c>
      <c r="E10" s="15">
        <v>30104000000</v>
      </c>
      <c r="F10" s="16" t="s">
        <v>220</v>
      </c>
      <c r="G10" s="17">
        <v>500</v>
      </c>
      <c r="H10" s="17">
        <v>500</v>
      </c>
      <c r="I10" s="17">
        <v>500</v>
      </c>
      <c r="J10" s="17">
        <v>500</v>
      </c>
      <c r="K10" s="113">
        <f>J10/G10*100</f>
        <v>100</v>
      </c>
    </row>
    <row r="11" spans="2:11" ht="15" x14ac:dyDescent="0.2">
      <c r="B11" s="131">
        <v>6172</v>
      </c>
      <c r="C11" s="83">
        <v>5141</v>
      </c>
      <c r="D11" s="132">
        <v>0</v>
      </c>
      <c r="E11" s="132">
        <v>20000000000</v>
      </c>
      <c r="F11" s="97" t="s">
        <v>221</v>
      </c>
      <c r="G11" s="85">
        <v>9556</v>
      </c>
      <c r="H11" s="133">
        <v>56</v>
      </c>
      <c r="I11" s="133">
        <v>21</v>
      </c>
      <c r="J11" s="133">
        <v>0</v>
      </c>
      <c r="K11" s="103">
        <f t="shared" ref="K11:K26" si="0">J11/G11*100</f>
        <v>0</v>
      </c>
    </row>
    <row r="12" spans="2:11" ht="15" x14ac:dyDescent="0.2">
      <c r="B12" s="131">
        <v>6172</v>
      </c>
      <c r="C12" s="132">
        <v>5141</v>
      </c>
      <c r="D12" s="132">
        <v>804</v>
      </c>
      <c r="E12" s="132">
        <v>20000000000</v>
      </c>
      <c r="F12" s="97" t="s">
        <v>221</v>
      </c>
      <c r="G12" s="133">
        <v>26000</v>
      </c>
      <c r="H12" s="133">
        <v>26000</v>
      </c>
      <c r="I12" s="133">
        <f>780569/100</f>
        <v>7805.69</v>
      </c>
      <c r="J12" s="133">
        <f>SUM(J33)</f>
        <v>25127</v>
      </c>
      <c r="K12" s="103">
        <f t="shared" si="0"/>
        <v>96.642307692307696</v>
      </c>
    </row>
    <row r="13" spans="2:11" ht="15" x14ac:dyDescent="0.2">
      <c r="B13" s="131">
        <v>6172</v>
      </c>
      <c r="C13" s="132">
        <v>5141</v>
      </c>
      <c r="D13" s="132">
        <v>813</v>
      </c>
      <c r="E13" s="132">
        <v>20000000000</v>
      </c>
      <c r="F13" s="97" t="s">
        <v>221</v>
      </c>
      <c r="G13" s="85">
        <v>43000</v>
      </c>
      <c r="H13" s="133">
        <v>41083</v>
      </c>
      <c r="I13" s="133">
        <f>1431344/100</f>
        <v>14313.44</v>
      </c>
      <c r="J13" s="133">
        <f>SUM(J35)</f>
        <v>47711</v>
      </c>
      <c r="K13" s="103">
        <f t="shared" si="0"/>
        <v>110.95581395348837</v>
      </c>
    </row>
    <row r="14" spans="2:11" ht="15" x14ac:dyDescent="0.2">
      <c r="B14" s="131">
        <v>6172</v>
      </c>
      <c r="C14" s="83">
        <v>5141</v>
      </c>
      <c r="D14" s="132">
        <v>887</v>
      </c>
      <c r="E14" s="132">
        <v>20000000000</v>
      </c>
      <c r="F14" s="97" t="s">
        <v>221</v>
      </c>
      <c r="G14" s="85">
        <v>0</v>
      </c>
      <c r="H14" s="133">
        <f>915799/100</f>
        <v>9157.99</v>
      </c>
      <c r="I14" s="133">
        <f>394757/100</f>
        <v>3947.57</v>
      </c>
      <c r="J14" s="133">
        <v>20344</v>
      </c>
      <c r="K14" s="103"/>
    </row>
    <row r="15" spans="2:11" ht="15" x14ac:dyDescent="0.2">
      <c r="B15" s="131">
        <v>6172</v>
      </c>
      <c r="C15" s="132">
        <v>5142</v>
      </c>
      <c r="D15" s="132">
        <v>0</v>
      </c>
      <c r="E15" s="132">
        <v>20000000000</v>
      </c>
      <c r="F15" s="97" t="s">
        <v>133</v>
      </c>
      <c r="G15" s="133">
        <v>3000</v>
      </c>
      <c r="H15" s="133">
        <v>3000</v>
      </c>
      <c r="I15" s="133">
        <f>628/100</f>
        <v>6.28</v>
      </c>
      <c r="J15" s="133">
        <v>3000</v>
      </c>
      <c r="K15" s="103">
        <f t="shared" si="0"/>
        <v>100</v>
      </c>
    </row>
    <row r="16" spans="2:11" ht="15" x14ac:dyDescent="0.2">
      <c r="B16" s="131">
        <v>6172</v>
      </c>
      <c r="C16" s="83">
        <v>5163</v>
      </c>
      <c r="D16" s="132">
        <v>0</v>
      </c>
      <c r="E16" s="132">
        <v>20000000000</v>
      </c>
      <c r="F16" s="97" t="s">
        <v>19</v>
      </c>
      <c r="G16" s="85">
        <v>594</v>
      </c>
      <c r="H16" s="133">
        <v>594</v>
      </c>
      <c r="I16" s="133">
        <v>319</v>
      </c>
      <c r="J16" s="133">
        <v>594</v>
      </c>
      <c r="K16" s="103">
        <f t="shared" si="0"/>
        <v>100</v>
      </c>
    </row>
    <row r="17" spans="2:11" ht="15" x14ac:dyDescent="0.2">
      <c r="B17" s="131">
        <v>6172</v>
      </c>
      <c r="C17" s="132">
        <v>5163</v>
      </c>
      <c r="D17" s="132">
        <v>0</v>
      </c>
      <c r="E17" s="132">
        <v>20003000000</v>
      </c>
      <c r="F17" s="97" t="s">
        <v>19</v>
      </c>
      <c r="G17" s="133">
        <v>6</v>
      </c>
      <c r="H17" s="133">
        <v>6</v>
      </c>
      <c r="I17" s="133">
        <f>529/100</f>
        <v>5.29</v>
      </c>
      <c r="J17" s="133">
        <v>6</v>
      </c>
      <c r="K17" s="103">
        <f t="shared" si="0"/>
        <v>100</v>
      </c>
    </row>
    <row r="18" spans="2:11" ht="15" x14ac:dyDescent="0.2">
      <c r="B18" s="131">
        <v>6172</v>
      </c>
      <c r="C18" s="83">
        <v>5164</v>
      </c>
      <c r="D18" s="132">
        <v>0</v>
      </c>
      <c r="E18" s="132">
        <v>20000000000</v>
      </c>
      <c r="F18" s="97" t="s">
        <v>20</v>
      </c>
      <c r="G18" s="85">
        <v>2</v>
      </c>
      <c r="H18" s="133">
        <f>537/100</f>
        <v>5.37</v>
      </c>
      <c r="I18" s="133">
        <f>459/100</f>
        <v>4.59</v>
      </c>
      <c r="J18" s="133">
        <v>5</v>
      </c>
      <c r="K18" s="103">
        <f t="shared" si="0"/>
        <v>250</v>
      </c>
    </row>
    <row r="19" spans="2:11" ht="25.5" x14ac:dyDescent="0.2">
      <c r="B19" s="131">
        <v>6172</v>
      </c>
      <c r="C19" s="132">
        <v>5166</v>
      </c>
      <c r="D19" s="132">
        <v>0</v>
      </c>
      <c r="E19" s="132">
        <v>20000000000</v>
      </c>
      <c r="F19" s="97" t="s">
        <v>42</v>
      </c>
      <c r="G19" s="133">
        <v>2000</v>
      </c>
      <c r="H19" s="133">
        <v>2000</v>
      </c>
      <c r="I19" s="133">
        <v>1032</v>
      </c>
      <c r="J19" s="133">
        <v>2000</v>
      </c>
      <c r="K19" s="103">
        <f t="shared" si="0"/>
        <v>100</v>
      </c>
    </row>
    <row r="20" spans="2:11" ht="15" x14ac:dyDescent="0.2">
      <c r="B20" s="131">
        <v>6172</v>
      </c>
      <c r="C20" s="132">
        <v>5169</v>
      </c>
      <c r="D20" s="132">
        <v>0</v>
      </c>
      <c r="E20" s="132">
        <v>20000000000</v>
      </c>
      <c r="F20" s="97" t="s">
        <v>15</v>
      </c>
      <c r="G20" s="85">
        <v>400</v>
      </c>
      <c r="H20" s="133">
        <v>440</v>
      </c>
      <c r="I20" s="133">
        <v>40</v>
      </c>
      <c r="J20" s="133">
        <v>400</v>
      </c>
      <c r="K20" s="103">
        <f t="shared" si="0"/>
        <v>100</v>
      </c>
    </row>
    <row r="21" spans="2:11" ht="25.5" x14ac:dyDescent="0.2">
      <c r="B21" s="131">
        <v>6172</v>
      </c>
      <c r="C21" s="83">
        <v>5362</v>
      </c>
      <c r="D21" s="132">
        <v>0</v>
      </c>
      <c r="E21" s="132">
        <v>20000000000</v>
      </c>
      <c r="F21" s="97" t="s">
        <v>66</v>
      </c>
      <c r="G21" s="85">
        <v>4000</v>
      </c>
      <c r="H21" s="133">
        <f>1261897/100</f>
        <v>12618.97</v>
      </c>
      <c r="I21" s="133">
        <v>8929</v>
      </c>
      <c r="J21" s="133">
        <v>8647</v>
      </c>
      <c r="K21" s="103">
        <f t="shared" si="0"/>
        <v>216.17500000000001</v>
      </c>
    </row>
    <row r="22" spans="2:11" ht="15" x14ac:dyDescent="0.2">
      <c r="B22" s="131">
        <v>6172</v>
      </c>
      <c r="C22" s="132">
        <v>5901</v>
      </c>
      <c r="D22" s="132">
        <v>0</v>
      </c>
      <c r="E22" s="132">
        <v>0</v>
      </c>
      <c r="F22" s="97" t="s">
        <v>17</v>
      </c>
      <c r="G22" s="133">
        <v>120</v>
      </c>
      <c r="H22" s="133">
        <v>59984</v>
      </c>
      <c r="I22" s="133">
        <v>0</v>
      </c>
      <c r="J22" s="133">
        <v>0</v>
      </c>
      <c r="K22" s="103">
        <f t="shared" si="0"/>
        <v>0</v>
      </c>
    </row>
    <row r="23" spans="2:11" ht="15" x14ac:dyDescent="0.2">
      <c r="B23" s="131">
        <v>6221</v>
      </c>
      <c r="C23" s="83">
        <v>5531</v>
      </c>
      <c r="D23" s="132">
        <v>16</v>
      </c>
      <c r="E23" s="132">
        <v>30106000000</v>
      </c>
      <c r="F23" s="97" t="s">
        <v>141</v>
      </c>
      <c r="G23" s="85">
        <v>0</v>
      </c>
      <c r="H23" s="133">
        <v>200</v>
      </c>
      <c r="I23" s="133">
        <v>200</v>
      </c>
      <c r="J23" s="133">
        <v>0</v>
      </c>
      <c r="K23" s="103"/>
    </row>
    <row r="24" spans="2:11" ht="25.5" x14ac:dyDescent="0.2">
      <c r="B24" s="131">
        <v>6409</v>
      </c>
      <c r="C24" s="132">
        <v>5229</v>
      </c>
      <c r="D24" s="132">
        <v>1</v>
      </c>
      <c r="E24" s="132">
        <v>30102000000</v>
      </c>
      <c r="F24" s="97" t="s">
        <v>86</v>
      </c>
      <c r="G24" s="133">
        <v>26000</v>
      </c>
      <c r="H24" s="133">
        <v>0</v>
      </c>
      <c r="I24" s="133">
        <v>0</v>
      </c>
      <c r="J24" s="133">
        <v>26000</v>
      </c>
      <c r="K24" s="103">
        <f t="shared" si="0"/>
        <v>100</v>
      </c>
    </row>
    <row r="25" spans="2:11" ht="25.5" x14ac:dyDescent="0.2">
      <c r="B25" s="131">
        <v>6409</v>
      </c>
      <c r="C25" s="132">
        <v>5229</v>
      </c>
      <c r="D25" s="132">
        <v>2</v>
      </c>
      <c r="E25" s="132">
        <v>30102000000</v>
      </c>
      <c r="F25" s="97" t="s">
        <v>86</v>
      </c>
      <c r="G25" s="85">
        <v>10800</v>
      </c>
      <c r="H25" s="133">
        <v>68</v>
      </c>
      <c r="I25" s="133">
        <v>0</v>
      </c>
      <c r="J25" s="133">
        <v>10800</v>
      </c>
      <c r="K25" s="103">
        <f t="shared" si="0"/>
        <v>100</v>
      </c>
    </row>
    <row r="26" spans="2:11" ht="15.75" thickBot="1" x14ac:dyDescent="0.25">
      <c r="B26" s="131">
        <v>6409</v>
      </c>
      <c r="C26" s="83">
        <v>5901</v>
      </c>
      <c r="D26" s="132">
        <v>0</v>
      </c>
      <c r="E26" s="132">
        <v>20000000000</v>
      </c>
      <c r="F26" s="97" t="s">
        <v>17</v>
      </c>
      <c r="G26" s="85">
        <v>30000</v>
      </c>
      <c r="H26" s="133">
        <f>1925222/100</f>
        <v>19252.22</v>
      </c>
      <c r="I26" s="133">
        <v>0</v>
      </c>
      <c r="J26" s="133">
        <v>30000</v>
      </c>
      <c r="K26" s="111">
        <f t="shared" si="0"/>
        <v>100</v>
      </c>
    </row>
    <row r="27" spans="2:11" ht="15.75" thickBot="1" x14ac:dyDescent="0.25">
      <c r="B27" s="18" t="s">
        <v>25</v>
      </c>
      <c r="C27" s="19"/>
      <c r="D27" s="19"/>
      <c r="E27" s="19"/>
      <c r="F27" s="20"/>
      <c r="G27" s="21">
        <f>SUM(G10:G26)</f>
        <v>155978</v>
      </c>
      <c r="H27" s="21">
        <f>SUM(H10:H26)</f>
        <v>174965.55000000002</v>
      </c>
      <c r="I27" s="21">
        <f>SUM(I10:I26)</f>
        <v>37123.86</v>
      </c>
      <c r="J27" s="21">
        <f>SUM(J10:J26)</f>
        <v>175134</v>
      </c>
      <c r="K27" s="106">
        <f>J27/G27*100</f>
        <v>112.28121914628986</v>
      </c>
    </row>
    <row r="28" spans="2:11" x14ac:dyDescent="0.2">
      <c r="F28" s="1"/>
      <c r="G28" s="1"/>
      <c r="H28" s="1"/>
      <c r="I28" s="1"/>
      <c r="J28" s="1"/>
    </row>
    <row r="29" spans="2:11" s="123" customFormat="1" ht="14.25" x14ac:dyDescent="0.2">
      <c r="B29" s="122"/>
      <c r="F29" s="185"/>
      <c r="G29" s="185"/>
      <c r="H29" s="185"/>
      <c r="I29" s="185"/>
      <c r="J29" s="185"/>
      <c r="K29" s="186"/>
    </row>
    <row r="30" spans="2:11" s="123" customFormat="1" ht="14.25" x14ac:dyDescent="0.2">
      <c r="F30" s="185"/>
      <c r="G30" s="185"/>
      <c r="H30" s="185"/>
      <c r="I30" s="185"/>
      <c r="J30" s="185"/>
      <c r="K30" s="186"/>
    </row>
    <row r="31" spans="2:11" s="123" customFormat="1" ht="15.75" thickBot="1" x14ac:dyDescent="0.25">
      <c r="B31" s="22" t="s">
        <v>570</v>
      </c>
      <c r="C31" s="22"/>
      <c r="D31" s="22"/>
      <c r="E31" s="22"/>
      <c r="F31" s="23"/>
      <c r="G31" s="23"/>
      <c r="H31" s="24"/>
      <c r="I31" s="24"/>
      <c r="J31" s="24">
        <v>500</v>
      </c>
      <c r="K31" s="108" t="s">
        <v>27</v>
      </c>
    </row>
    <row r="32" spans="2:11" s="123" customFormat="1" ht="36.75" customHeight="1" thickTop="1" x14ac:dyDescent="0.2">
      <c r="B32" s="265" t="s">
        <v>571</v>
      </c>
      <c r="C32" s="266"/>
      <c r="D32" s="266"/>
      <c r="E32" s="266"/>
      <c r="F32" s="266"/>
      <c r="G32" s="266"/>
      <c r="H32" s="266"/>
      <c r="I32" s="266"/>
      <c r="J32" s="266"/>
      <c r="K32" s="266"/>
    </row>
    <row r="33" spans="2:11" s="123" customFormat="1" ht="16.5" customHeight="1" thickBot="1" x14ac:dyDescent="0.25">
      <c r="B33" s="22" t="s">
        <v>222</v>
      </c>
      <c r="C33" s="22"/>
      <c r="D33" s="22"/>
      <c r="E33" s="22"/>
      <c r="F33" s="23"/>
      <c r="G33" s="23"/>
      <c r="H33" s="24"/>
      <c r="I33" s="24"/>
      <c r="J33" s="24">
        <f>25127</f>
        <v>25127</v>
      </c>
      <c r="K33" s="108" t="s">
        <v>27</v>
      </c>
    </row>
    <row r="34" spans="2:11" s="123" customFormat="1" ht="38.25" customHeight="1" thickTop="1" x14ac:dyDescent="0.2">
      <c r="B34" s="265" t="s">
        <v>419</v>
      </c>
      <c r="C34" s="266"/>
      <c r="D34" s="266"/>
      <c r="E34" s="266"/>
      <c r="F34" s="266"/>
      <c r="G34" s="266"/>
      <c r="H34" s="266"/>
      <c r="I34" s="266"/>
      <c r="J34" s="266"/>
      <c r="K34" s="266"/>
    </row>
    <row r="35" spans="2:11" s="123" customFormat="1" ht="15.75" thickBot="1" x14ac:dyDescent="0.25">
      <c r="B35" s="22" t="s">
        <v>222</v>
      </c>
      <c r="C35" s="22"/>
      <c r="D35" s="22"/>
      <c r="E35" s="22"/>
      <c r="F35" s="23"/>
      <c r="G35" s="23"/>
      <c r="H35" s="24"/>
      <c r="I35" s="24"/>
      <c r="J35" s="24">
        <f>47678+33</f>
        <v>47711</v>
      </c>
      <c r="K35" s="108" t="s">
        <v>27</v>
      </c>
    </row>
    <row r="36" spans="2:11" s="123" customFormat="1" ht="52.5" customHeight="1" thickTop="1" x14ac:dyDescent="0.2">
      <c r="B36" s="265" t="s">
        <v>573</v>
      </c>
      <c r="C36" s="266"/>
      <c r="D36" s="266"/>
      <c r="E36" s="266"/>
      <c r="F36" s="266"/>
      <c r="G36" s="266"/>
      <c r="H36" s="266"/>
      <c r="I36" s="266"/>
      <c r="J36" s="266"/>
      <c r="K36" s="266"/>
    </row>
    <row r="37" spans="2:11" s="123" customFormat="1" ht="15.75" thickBot="1" x14ac:dyDescent="0.25">
      <c r="B37" s="22" t="s">
        <v>222</v>
      </c>
      <c r="C37" s="22"/>
      <c r="D37" s="22"/>
      <c r="E37" s="22"/>
      <c r="F37" s="23"/>
      <c r="G37" s="23"/>
      <c r="H37" s="24"/>
      <c r="I37" s="24"/>
      <c r="J37" s="24">
        <v>20344</v>
      </c>
      <c r="K37" s="108" t="s">
        <v>27</v>
      </c>
    </row>
    <row r="38" spans="2:11" s="123" customFormat="1" ht="37.5" customHeight="1" thickTop="1" x14ac:dyDescent="0.2">
      <c r="B38" s="265" t="s">
        <v>572</v>
      </c>
      <c r="C38" s="266"/>
      <c r="D38" s="266"/>
      <c r="E38" s="266"/>
      <c r="F38" s="266"/>
      <c r="G38" s="266"/>
      <c r="H38" s="266"/>
      <c r="I38" s="266"/>
      <c r="J38" s="266"/>
      <c r="K38" s="266"/>
    </row>
    <row r="39" spans="2:11" s="123" customFormat="1" ht="15.75" thickBot="1" x14ac:dyDescent="0.25">
      <c r="B39" s="22" t="s">
        <v>223</v>
      </c>
      <c r="C39" s="22"/>
      <c r="D39" s="22"/>
      <c r="E39" s="22"/>
      <c r="F39" s="23"/>
      <c r="G39" s="23"/>
      <c r="H39" s="24"/>
      <c r="I39" s="24"/>
      <c r="J39" s="24">
        <v>3000</v>
      </c>
      <c r="K39" s="108" t="s">
        <v>27</v>
      </c>
    </row>
    <row r="40" spans="2:11" s="123" customFormat="1" ht="24" customHeight="1" thickTop="1" x14ac:dyDescent="0.2">
      <c r="B40" s="269" t="s">
        <v>362</v>
      </c>
      <c r="C40" s="270"/>
      <c r="D40" s="270"/>
      <c r="E40" s="270"/>
      <c r="F40" s="270"/>
      <c r="G40" s="270"/>
      <c r="H40" s="270"/>
      <c r="I40" s="270"/>
      <c r="J40" s="270"/>
      <c r="K40" s="270"/>
    </row>
    <row r="41" spans="2:11" s="123" customFormat="1" ht="15.75" thickBot="1" x14ac:dyDescent="0.25">
      <c r="B41" s="22" t="s">
        <v>28</v>
      </c>
      <c r="C41" s="22"/>
      <c r="D41" s="22"/>
      <c r="E41" s="22"/>
      <c r="F41" s="23"/>
      <c r="G41" s="23"/>
      <c r="H41" s="24"/>
      <c r="I41" s="24"/>
      <c r="J41" s="24">
        <v>594</v>
      </c>
      <c r="K41" s="108" t="s">
        <v>27</v>
      </c>
    </row>
    <row r="42" spans="2:11" s="123" customFormat="1" ht="24" customHeight="1" thickTop="1" x14ac:dyDescent="0.2">
      <c r="B42" s="269" t="s">
        <v>363</v>
      </c>
      <c r="C42" s="270"/>
      <c r="D42" s="270"/>
      <c r="E42" s="270"/>
      <c r="F42" s="270"/>
      <c r="G42" s="270"/>
      <c r="H42" s="270"/>
      <c r="I42" s="270"/>
      <c r="J42" s="270"/>
      <c r="K42" s="270"/>
    </row>
    <row r="43" spans="2:11" s="123" customFormat="1" ht="15.75" thickBot="1" x14ac:dyDescent="0.25">
      <c r="B43" s="22" t="s">
        <v>28</v>
      </c>
      <c r="C43" s="22"/>
      <c r="D43" s="22"/>
      <c r="E43" s="22"/>
      <c r="F43" s="23"/>
      <c r="G43" s="23"/>
      <c r="H43" s="24"/>
      <c r="I43" s="24"/>
      <c r="J43" s="24">
        <v>6</v>
      </c>
      <c r="K43" s="108" t="s">
        <v>27</v>
      </c>
    </row>
    <row r="44" spans="2:11" s="123" customFormat="1" ht="24" customHeight="1" thickTop="1" x14ac:dyDescent="0.2">
      <c r="B44" s="269" t="s">
        <v>364</v>
      </c>
      <c r="C44" s="270"/>
      <c r="D44" s="270"/>
      <c r="E44" s="270"/>
      <c r="F44" s="270"/>
      <c r="G44" s="270"/>
      <c r="H44" s="270"/>
      <c r="I44" s="270"/>
      <c r="J44" s="270"/>
      <c r="K44" s="270"/>
    </row>
    <row r="45" spans="2:11" s="123" customFormat="1" ht="15.75" thickBot="1" x14ac:dyDescent="0.25">
      <c r="B45" s="22" t="s">
        <v>68</v>
      </c>
      <c r="C45" s="22"/>
      <c r="D45" s="22"/>
      <c r="E45" s="22"/>
      <c r="F45" s="23"/>
      <c r="G45" s="23"/>
      <c r="H45" s="24"/>
      <c r="I45" s="24"/>
      <c r="J45" s="24">
        <v>5</v>
      </c>
      <c r="K45" s="108" t="s">
        <v>27</v>
      </c>
    </row>
    <row r="46" spans="2:11" s="123" customFormat="1" ht="55.5" customHeight="1" thickTop="1" x14ac:dyDescent="0.2">
      <c r="B46" s="269" t="s">
        <v>365</v>
      </c>
      <c r="C46" s="270"/>
      <c r="D46" s="270"/>
      <c r="E46" s="270"/>
      <c r="F46" s="270"/>
      <c r="G46" s="270"/>
      <c r="H46" s="270"/>
      <c r="I46" s="270"/>
      <c r="J46" s="270"/>
      <c r="K46" s="270"/>
    </row>
    <row r="47" spans="2:11" s="123" customFormat="1" ht="15.75" thickBot="1" x14ac:dyDescent="0.25">
      <c r="B47" s="22" t="s">
        <v>51</v>
      </c>
      <c r="C47" s="22"/>
      <c r="D47" s="22"/>
      <c r="E47" s="22"/>
      <c r="F47" s="23"/>
      <c r="G47" s="23"/>
      <c r="H47" s="24"/>
      <c r="I47" s="24"/>
      <c r="J47" s="24">
        <v>2000</v>
      </c>
      <c r="K47" s="108" t="s">
        <v>27</v>
      </c>
    </row>
    <row r="48" spans="2:11" s="123" customFormat="1" ht="27" customHeight="1" thickTop="1" x14ac:dyDescent="0.2">
      <c r="B48" s="269" t="s">
        <v>574</v>
      </c>
      <c r="C48" s="270"/>
      <c r="D48" s="270"/>
      <c r="E48" s="270"/>
      <c r="F48" s="270"/>
      <c r="G48" s="270"/>
      <c r="H48" s="270"/>
      <c r="I48" s="270"/>
      <c r="J48" s="270"/>
      <c r="K48" s="270"/>
    </row>
    <row r="49" spans="2:11" s="123" customFormat="1" ht="15.75" thickBot="1" x14ac:dyDescent="0.25">
      <c r="B49" s="22" t="s">
        <v>29</v>
      </c>
      <c r="C49" s="22"/>
      <c r="D49" s="22"/>
      <c r="E49" s="22"/>
      <c r="F49" s="23"/>
      <c r="G49" s="23"/>
      <c r="H49" s="24"/>
      <c r="I49" s="24"/>
      <c r="J49" s="24">
        <v>400</v>
      </c>
      <c r="K49" s="108" t="s">
        <v>27</v>
      </c>
    </row>
    <row r="50" spans="2:11" s="123" customFormat="1" ht="12.95" customHeight="1" thickTop="1" x14ac:dyDescent="0.2">
      <c r="B50" s="283"/>
      <c r="C50" s="270"/>
      <c r="D50" s="270"/>
      <c r="E50" s="270"/>
      <c r="F50" s="270"/>
      <c r="G50" s="270"/>
      <c r="H50" s="270"/>
      <c r="I50" s="270"/>
      <c r="J50" s="270"/>
      <c r="K50" s="270"/>
    </row>
    <row r="51" spans="2:11" s="123" customFormat="1" ht="15.75" thickBot="1" x14ac:dyDescent="0.25">
      <c r="B51" s="22" t="s">
        <v>69</v>
      </c>
      <c r="C51" s="22"/>
      <c r="D51" s="22"/>
      <c r="E51" s="22"/>
      <c r="F51" s="23"/>
      <c r="G51" s="23"/>
      <c r="H51" s="24"/>
      <c r="I51" s="24"/>
      <c r="J51" s="24">
        <v>8647</v>
      </c>
      <c r="K51" s="108" t="s">
        <v>27</v>
      </c>
    </row>
    <row r="52" spans="2:11" s="123" customFormat="1" ht="69.75" customHeight="1" thickTop="1" x14ac:dyDescent="0.2">
      <c r="B52" s="265" t="s">
        <v>579</v>
      </c>
      <c r="C52" s="266"/>
      <c r="D52" s="266"/>
      <c r="E52" s="266"/>
      <c r="F52" s="266"/>
      <c r="G52" s="266"/>
      <c r="H52" s="266"/>
      <c r="I52" s="266"/>
      <c r="J52" s="266"/>
      <c r="K52" s="266"/>
    </row>
    <row r="53" spans="2:11" s="123" customFormat="1" ht="15.75" thickBot="1" x14ac:dyDescent="0.25">
      <c r="B53" s="22" t="s">
        <v>575</v>
      </c>
      <c r="C53" s="22"/>
      <c r="D53" s="22"/>
      <c r="E53" s="22"/>
      <c r="F53" s="23"/>
      <c r="G53" s="23"/>
      <c r="H53" s="24"/>
      <c r="I53" s="24"/>
      <c r="J53" s="24">
        <v>26000</v>
      </c>
      <c r="K53" s="108" t="s">
        <v>27</v>
      </c>
    </row>
    <row r="54" spans="2:11" s="123" customFormat="1" ht="26.1" customHeight="1" thickTop="1" x14ac:dyDescent="0.2">
      <c r="B54" s="269" t="s">
        <v>576</v>
      </c>
      <c r="C54" s="270"/>
      <c r="D54" s="270"/>
      <c r="E54" s="270"/>
      <c r="F54" s="270"/>
      <c r="G54" s="270"/>
      <c r="H54" s="270"/>
      <c r="I54" s="270"/>
      <c r="J54" s="270"/>
      <c r="K54" s="270"/>
    </row>
    <row r="55" spans="2:11" s="123" customFormat="1" ht="15.75" thickBot="1" x14ac:dyDescent="0.25">
      <c r="B55" s="22" t="s">
        <v>575</v>
      </c>
      <c r="C55" s="22"/>
      <c r="D55" s="22"/>
      <c r="E55" s="22"/>
      <c r="F55" s="23"/>
      <c r="G55" s="23"/>
      <c r="H55" s="24"/>
      <c r="I55" s="24"/>
      <c r="J55" s="24">
        <v>10800</v>
      </c>
      <c r="K55" s="108" t="s">
        <v>27</v>
      </c>
    </row>
    <row r="56" spans="2:11" s="123" customFormat="1" ht="26.1" customHeight="1" thickTop="1" x14ac:dyDescent="0.2">
      <c r="B56" s="269" t="s">
        <v>688</v>
      </c>
      <c r="C56" s="270"/>
      <c r="D56" s="270"/>
      <c r="E56" s="270"/>
      <c r="F56" s="270"/>
      <c r="G56" s="270"/>
      <c r="H56" s="270"/>
      <c r="I56" s="270"/>
      <c r="J56" s="270"/>
      <c r="K56" s="270"/>
    </row>
    <row r="57" spans="2:11" s="123" customFormat="1" ht="15.75" thickBot="1" x14ac:dyDescent="0.25">
      <c r="B57" s="22" t="s">
        <v>577</v>
      </c>
      <c r="C57" s="22"/>
      <c r="D57" s="22"/>
      <c r="E57" s="22"/>
      <c r="F57" s="23"/>
      <c r="G57" s="23"/>
      <c r="H57" s="24"/>
      <c r="I57" s="24"/>
      <c r="J57" s="24">
        <v>30000</v>
      </c>
      <c r="K57" s="108" t="s">
        <v>27</v>
      </c>
    </row>
    <row r="58" spans="2:11" s="123" customFormat="1" ht="17.100000000000001" customHeight="1" thickTop="1" x14ac:dyDescent="0.2">
      <c r="B58" s="269" t="s">
        <v>578</v>
      </c>
      <c r="C58" s="270"/>
      <c r="D58" s="270"/>
      <c r="E58" s="270"/>
      <c r="F58" s="270"/>
      <c r="G58" s="270"/>
      <c r="H58" s="270"/>
      <c r="I58" s="270"/>
      <c r="J58" s="270"/>
      <c r="K58" s="270"/>
    </row>
    <row r="59" spans="2:11" s="123" customFormat="1" ht="14.25" x14ac:dyDescent="0.2">
      <c r="K59" s="186"/>
    </row>
    <row r="60" spans="2:11" s="123" customFormat="1" ht="14.25" x14ac:dyDescent="0.2">
      <c r="K60" s="186"/>
    </row>
    <row r="61" spans="2:11" s="123" customFormat="1" ht="14.25" x14ac:dyDescent="0.2">
      <c r="K61" s="186"/>
    </row>
    <row r="62" spans="2:11" s="123" customFormat="1" ht="14.25" x14ac:dyDescent="0.2">
      <c r="K62" s="186"/>
    </row>
    <row r="63" spans="2:11" s="123" customFormat="1" ht="14.25" x14ac:dyDescent="0.2">
      <c r="K63" s="186"/>
    </row>
    <row r="64" spans="2:11" s="123" customFormat="1" ht="14.25" x14ac:dyDescent="0.2">
      <c r="K64" s="186"/>
    </row>
    <row r="65" spans="11:11" s="123" customFormat="1" ht="14.25" x14ac:dyDescent="0.2">
      <c r="K65" s="186"/>
    </row>
    <row r="66" spans="11:11" s="123" customFormat="1" ht="14.25" x14ac:dyDescent="0.2">
      <c r="K66" s="186"/>
    </row>
    <row r="67" spans="11:11" s="123" customFormat="1" ht="14.25" x14ac:dyDescent="0.2">
      <c r="K67" s="186"/>
    </row>
    <row r="68" spans="11:11" s="123" customFormat="1" ht="14.25" x14ac:dyDescent="0.2">
      <c r="K68" s="186"/>
    </row>
    <row r="69" spans="11:11" s="123" customFormat="1" ht="14.25" x14ac:dyDescent="0.2">
      <c r="K69" s="186"/>
    </row>
    <row r="70" spans="11:11" s="123" customFormat="1" ht="14.25" x14ac:dyDescent="0.2">
      <c r="K70" s="186"/>
    </row>
    <row r="71" spans="11:11" s="123" customFormat="1" ht="14.25" x14ac:dyDescent="0.2">
      <c r="K71" s="186"/>
    </row>
    <row r="72" spans="11:11" s="123" customFormat="1" ht="14.25" x14ac:dyDescent="0.2">
      <c r="K72" s="186"/>
    </row>
    <row r="73" spans="11:11" s="123" customFormat="1" ht="14.25" x14ac:dyDescent="0.2">
      <c r="K73" s="186"/>
    </row>
    <row r="74" spans="11:11" s="123" customFormat="1" ht="14.25" x14ac:dyDescent="0.2">
      <c r="K74" s="186"/>
    </row>
    <row r="75" spans="11:11" s="123" customFormat="1" ht="14.25" x14ac:dyDescent="0.2">
      <c r="K75" s="186"/>
    </row>
    <row r="76" spans="11:11" s="123" customFormat="1" ht="14.25" x14ac:dyDescent="0.2">
      <c r="K76" s="186"/>
    </row>
  </sheetData>
  <mergeCells count="15">
    <mergeCell ref="B54:K54"/>
    <mergeCell ref="B56:K56"/>
    <mergeCell ref="B58:K58"/>
    <mergeCell ref="B44:K44"/>
    <mergeCell ref="B46:K46"/>
    <mergeCell ref="B48:K48"/>
    <mergeCell ref="B50:K50"/>
    <mergeCell ref="B52:K52"/>
    <mergeCell ref="B34:K34"/>
    <mergeCell ref="B36:K36"/>
    <mergeCell ref="B40:K40"/>
    <mergeCell ref="B42:K42"/>
    <mergeCell ref="B2:F2"/>
    <mergeCell ref="B32:K32"/>
    <mergeCell ref="B38:K38"/>
  </mergeCells>
  <pageMargins left="0.70866141732283472" right="0.70866141732283472" top="0.78740157480314965" bottom="0.78740157480314965" header="0.31496062992125984" footer="0.31496062992125984"/>
  <pageSetup paperSize="9" scale="74" firstPageNumber="43" fitToHeight="9999" orientation="portrait" useFirstPageNumber="1" r:id="rId1"/>
  <headerFooter>
    <oddFooter>&amp;L&amp;"Arial CE,Kurzíva"Zastupitelstvo Olomouckého kraje 16-12-2011
6. - Rozpočet Olomouckého kraje 2012 - návrh rozpočtu 
Příloha č. 3a): Výdaje odborů (kanceláří)&amp;R&amp;"Arial CE,Kurzíva"Strana &amp;P (celkem 167)</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3" tint="0.39997558519241921"/>
    <pageSetUpPr fitToPage="1"/>
  </sheetPr>
  <dimension ref="B2:L172"/>
  <sheetViews>
    <sheetView showGridLines="0" view="pageBreakPreview" topLeftCell="A19" zoomScaleNormal="100" zoomScaleSheetLayoutView="100" workbookViewId="0">
      <selection activeCell="B111" sqref="B111:K111"/>
    </sheetView>
  </sheetViews>
  <sheetFormatPr defaultRowHeight="12.75" x14ac:dyDescent="0.2"/>
  <cols>
    <col min="1" max="1" width="0.85546875" customWidth="1"/>
    <col min="2" max="2" width="5.140625" customWidth="1"/>
    <col min="3" max="3" width="5.7109375" customWidth="1"/>
    <col min="4" max="4" width="9.7109375" customWidth="1"/>
    <col min="5" max="5" width="12.28515625" customWidth="1"/>
    <col min="6" max="6" width="41" customWidth="1"/>
    <col min="7" max="9" width="10.7109375" customWidth="1"/>
    <col min="10" max="10" width="11.42578125" customWidth="1"/>
    <col min="11" max="11" width="7.7109375" style="107" customWidth="1"/>
  </cols>
  <sheetData>
    <row r="2" spans="2:11" ht="35.1" customHeight="1" x14ac:dyDescent="0.2">
      <c r="B2" s="267" t="s">
        <v>194</v>
      </c>
      <c r="C2" s="268"/>
      <c r="D2" s="268"/>
      <c r="E2" s="268"/>
      <c r="F2" s="268"/>
      <c r="G2" s="3"/>
      <c r="H2" s="3"/>
      <c r="I2" s="3"/>
      <c r="J2" s="3"/>
      <c r="K2" s="98" t="s">
        <v>195</v>
      </c>
    </row>
    <row r="5" spans="2:11" s="123" customFormat="1" ht="15" x14ac:dyDescent="0.2">
      <c r="B5" s="188" t="s">
        <v>0</v>
      </c>
      <c r="C5" s="188"/>
      <c r="D5" s="188" t="s">
        <v>35</v>
      </c>
      <c r="E5" s="189"/>
      <c r="F5" s="189"/>
      <c r="G5" s="189"/>
      <c r="H5" s="189"/>
      <c r="I5" s="189"/>
      <c r="J5" s="189"/>
      <c r="K5" s="190"/>
    </row>
    <row r="6" spans="2:11" s="123" customFormat="1" ht="15" x14ac:dyDescent="0.2">
      <c r="B6" s="188"/>
      <c r="C6" s="188"/>
      <c r="D6" s="188" t="s">
        <v>33</v>
      </c>
      <c r="E6" s="189"/>
      <c r="F6" s="189"/>
      <c r="G6" s="189"/>
      <c r="H6" s="189"/>
      <c r="I6" s="189"/>
      <c r="J6" s="189"/>
      <c r="K6" s="190"/>
    </row>
    <row r="7" spans="2:11" ht="13.5" thickBot="1" x14ac:dyDescent="0.25">
      <c r="B7" s="5"/>
      <c r="C7" s="5"/>
      <c r="D7" s="5"/>
      <c r="E7" s="5"/>
      <c r="F7" s="5"/>
      <c r="G7" s="5"/>
      <c r="H7" s="5"/>
      <c r="I7" s="5"/>
      <c r="J7" s="5"/>
      <c r="K7" s="99" t="s">
        <v>3</v>
      </c>
    </row>
    <row r="8" spans="2:11" ht="35.1" customHeight="1" x14ac:dyDescent="0.2">
      <c r="B8" s="7" t="s">
        <v>4</v>
      </c>
      <c r="C8" s="8" t="s">
        <v>5</v>
      </c>
      <c r="D8" s="8" t="s">
        <v>6</v>
      </c>
      <c r="E8" s="8" t="s">
        <v>7</v>
      </c>
      <c r="F8" s="6" t="s">
        <v>8</v>
      </c>
      <c r="G8" s="6" t="s">
        <v>9</v>
      </c>
      <c r="H8" s="6" t="s">
        <v>10</v>
      </c>
      <c r="I8" s="6" t="s">
        <v>11</v>
      </c>
      <c r="J8" s="6" t="s">
        <v>12</v>
      </c>
      <c r="K8" s="100" t="s">
        <v>13</v>
      </c>
    </row>
    <row r="9" spans="2:11" ht="13.5" thickBot="1" x14ac:dyDescent="0.25">
      <c r="B9" s="10">
        <v>1</v>
      </c>
      <c r="C9" s="11">
        <v>2</v>
      </c>
      <c r="D9" s="11">
        <v>3</v>
      </c>
      <c r="E9" s="11">
        <v>4</v>
      </c>
      <c r="F9" s="12">
        <v>5</v>
      </c>
      <c r="G9" s="12">
        <v>6</v>
      </c>
      <c r="H9" s="12">
        <v>7</v>
      </c>
      <c r="I9" s="12">
        <v>8</v>
      </c>
      <c r="J9" s="12">
        <v>9</v>
      </c>
      <c r="K9" s="101" t="s">
        <v>14</v>
      </c>
    </row>
    <row r="10" spans="2:11" ht="25.5" x14ac:dyDescent="0.2">
      <c r="B10" s="82">
        <v>2251</v>
      </c>
      <c r="C10" s="83">
        <v>5213</v>
      </c>
      <c r="D10" s="83">
        <v>16</v>
      </c>
      <c r="E10" s="83">
        <v>30102003008</v>
      </c>
      <c r="F10" s="84" t="s">
        <v>88</v>
      </c>
      <c r="G10" s="85">
        <v>3000</v>
      </c>
      <c r="H10" s="85">
        <v>3000</v>
      </c>
      <c r="I10" s="85">
        <v>3000</v>
      </c>
      <c r="J10" s="85">
        <v>3000</v>
      </c>
      <c r="K10" s="103">
        <f>J10/G10*100</f>
        <v>100</v>
      </c>
    </row>
    <row r="11" spans="2:11" ht="25.5" x14ac:dyDescent="0.2">
      <c r="B11" s="82">
        <v>2251</v>
      </c>
      <c r="C11" s="83">
        <v>6313</v>
      </c>
      <c r="D11" s="83">
        <v>16</v>
      </c>
      <c r="E11" s="83">
        <v>30102003008</v>
      </c>
      <c r="F11" s="84" t="s">
        <v>145</v>
      </c>
      <c r="G11" s="85">
        <v>10000</v>
      </c>
      <c r="H11" s="85">
        <v>10000</v>
      </c>
      <c r="I11" s="85">
        <v>10000</v>
      </c>
      <c r="J11" s="85">
        <v>5000</v>
      </c>
      <c r="K11" s="103">
        <f>J11/G11*100</f>
        <v>50</v>
      </c>
    </row>
    <row r="12" spans="2:11" ht="25.5" x14ac:dyDescent="0.2">
      <c r="B12" s="82">
        <v>3299</v>
      </c>
      <c r="C12" s="83">
        <v>5213</v>
      </c>
      <c r="D12" s="83">
        <v>16</v>
      </c>
      <c r="E12" s="83">
        <v>30102003028</v>
      </c>
      <c r="F12" s="84" t="s">
        <v>88</v>
      </c>
      <c r="G12" s="85">
        <v>2000</v>
      </c>
      <c r="H12" s="85">
        <v>2000</v>
      </c>
      <c r="I12" s="85">
        <v>2000</v>
      </c>
      <c r="J12" s="85">
        <v>2000</v>
      </c>
      <c r="K12" s="103">
        <f>J12/G12*100</f>
        <v>100</v>
      </c>
    </row>
    <row r="13" spans="2:11" ht="15" x14ac:dyDescent="0.2">
      <c r="B13" s="82"/>
      <c r="C13" s="83"/>
      <c r="D13" s="83"/>
      <c r="E13" s="83"/>
      <c r="F13" s="276" t="s">
        <v>552</v>
      </c>
      <c r="G13" s="277"/>
      <c r="H13" s="277"/>
      <c r="I13" s="278"/>
      <c r="J13" s="279"/>
      <c r="K13" s="103"/>
    </row>
    <row r="14" spans="2:11" ht="25.5" x14ac:dyDescent="0.2">
      <c r="B14" s="82">
        <v>3349</v>
      </c>
      <c r="C14" s="83">
        <v>5213</v>
      </c>
      <c r="D14" s="83">
        <v>35</v>
      </c>
      <c r="E14" s="83">
        <v>30102000000</v>
      </c>
      <c r="F14" s="84" t="s">
        <v>88</v>
      </c>
      <c r="G14" s="85">
        <v>300</v>
      </c>
      <c r="H14" s="85">
        <v>300</v>
      </c>
      <c r="I14" s="85">
        <v>300</v>
      </c>
      <c r="J14" s="173">
        <v>280</v>
      </c>
      <c r="K14" s="103">
        <f t="shared" ref="K14:K19" si="0">J14/G14*100</f>
        <v>93.333333333333329</v>
      </c>
    </row>
    <row r="15" spans="2:11" ht="15" x14ac:dyDescent="0.2">
      <c r="B15" s="82">
        <v>3639</v>
      </c>
      <c r="C15" s="83">
        <v>5164</v>
      </c>
      <c r="D15" s="83">
        <v>35</v>
      </c>
      <c r="E15" s="83">
        <v>20001000000</v>
      </c>
      <c r="F15" s="84" t="s">
        <v>20</v>
      </c>
      <c r="G15" s="85">
        <v>0</v>
      </c>
      <c r="H15" s="85">
        <v>0</v>
      </c>
      <c r="I15" s="85">
        <v>0</v>
      </c>
      <c r="J15" s="173">
        <v>0</v>
      </c>
      <c r="K15" s="103"/>
    </row>
    <row r="16" spans="2:11" ht="15" x14ac:dyDescent="0.2">
      <c r="B16" s="82">
        <v>3639</v>
      </c>
      <c r="C16" s="83">
        <v>5169</v>
      </c>
      <c r="D16" s="83">
        <v>35</v>
      </c>
      <c r="E16" s="83">
        <v>20000000000</v>
      </c>
      <c r="F16" s="84" t="s">
        <v>15</v>
      </c>
      <c r="G16" s="85">
        <v>0</v>
      </c>
      <c r="H16" s="85">
        <v>0</v>
      </c>
      <c r="I16" s="85">
        <v>0</v>
      </c>
      <c r="J16" s="173">
        <v>750</v>
      </c>
      <c r="K16" s="103"/>
    </row>
    <row r="17" spans="2:11" ht="15" x14ac:dyDescent="0.2">
      <c r="B17" s="82">
        <v>3639</v>
      </c>
      <c r="C17" s="83">
        <v>5169</v>
      </c>
      <c r="D17" s="83">
        <v>35</v>
      </c>
      <c r="E17" s="83">
        <v>20001000000</v>
      </c>
      <c r="F17" s="84" t="s">
        <v>15</v>
      </c>
      <c r="G17" s="85">
        <v>0</v>
      </c>
      <c r="H17" s="85">
        <v>0</v>
      </c>
      <c r="I17" s="85">
        <v>0</v>
      </c>
      <c r="J17" s="173">
        <v>580</v>
      </c>
      <c r="K17" s="103"/>
    </row>
    <row r="18" spans="2:11" ht="25.5" x14ac:dyDescent="0.2">
      <c r="B18" s="82">
        <v>3639</v>
      </c>
      <c r="C18" s="83">
        <v>5212</v>
      </c>
      <c r="D18" s="83">
        <v>35</v>
      </c>
      <c r="E18" s="83">
        <v>30102000000</v>
      </c>
      <c r="F18" s="84" t="s">
        <v>87</v>
      </c>
      <c r="G18" s="85">
        <v>100</v>
      </c>
      <c r="H18" s="85">
        <v>100</v>
      </c>
      <c r="I18" s="85">
        <v>100</v>
      </c>
      <c r="J18" s="173">
        <v>50</v>
      </c>
      <c r="K18" s="103">
        <f t="shared" si="0"/>
        <v>50</v>
      </c>
    </row>
    <row r="19" spans="2:11" ht="25.5" x14ac:dyDescent="0.2">
      <c r="B19" s="82">
        <v>3639</v>
      </c>
      <c r="C19" s="83">
        <v>5213</v>
      </c>
      <c r="D19" s="83">
        <v>35</v>
      </c>
      <c r="E19" s="83">
        <v>30102000000</v>
      </c>
      <c r="F19" s="84" t="s">
        <v>88</v>
      </c>
      <c r="G19" s="85">
        <v>300</v>
      </c>
      <c r="H19" s="85">
        <v>190</v>
      </c>
      <c r="I19" s="85">
        <v>0</v>
      </c>
      <c r="J19" s="173">
        <v>200</v>
      </c>
      <c r="K19" s="103">
        <f t="shared" si="0"/>
        <v>66.666666666666657</v>
      </c>
    </row>
    <row r="20" spans="2:11" ht="25.5" x14ac:dyDescent="0.2">
      <c r="B20" s="82">
        <v>3639</v>
      </c>
      <c r="C20" s="83">
        <v>5229</v>
      </c>
      <c r="D20" s="83">
        <v>35</v>
      </c>
      <c r="E20" s="83">
        <v>30101000000</v>
      </c>
      <c r="F20" s="84" t="s">
        <v>86</v>
      </c>
      <c r="G20" s="85">
        <v>0</v>
      </c>
      <c r="H20" s="85">
        <v>0</v>
      </c>
      <c r="I20" s="85">
        <v>0</v>
      </c>
      <c r="J20" s="173">
        <v>7200</v>
      </c>
      <c r="K20" s="103"/>
    </row>
    <row r="21" spans="2:11" ht="14.25" x14ac:dyDescent="0.2">
      <c r="B21" s="82"/>
      <c r="C21" s="83"/>
      <c r="D21" s="83"/>
      <c r="E21" s="83"/>
      <c r="F21" s="84"/>
      <c r="G21" s="87">
        <f>SUM(G14:G20)</f>
        <v>700</v>
      </c>
      <c r="H21" s="87">
        <f>SUM(H14:H20)</f>
        <v>590</v>
      </c>
      <c r="I21" s="87">
        <f>SUM(I14:I20)</f>
        <v>400</v>
      </c>
      <c r="J21" s="87">
        <f>SUM(J14:J20)</f>
        <v>9060</v>
      </c>
      <c r="K21" s="104"/>
    </row>
    <row r="22" spans="2:11" ht="15" x14ac:dyDescent="0.2">
      <c r="B22" s="82">
        <v>3635</v>
      </c>
      <c r="C22" s="83">
        <v>5166</v>
      </c>
      <c r="D22" s="83">
        <v>0</v>
      </c>
      <c r="E22" s="83">
        <v>20004000000</v>
      </c>
      <c r="F22" s="84" t="s">
        <v>42</v>
      </c>
      <c r="G22" s="85">
        <v>3100</v>
      </c>
      <c r="H22" s="85">
        <v>2500</v>
      </c>
      <c r="I22" s="85">
        <f>26780/100</f>
        <v>267.8</v>
      </c>
      <c r="J22" s="85">
        <v>3250</v>
      </c>
      <c r="K22" s="103">
        <f t="shared" ref="K22:K28" si="1">J22/G22*100</f>
        <v>104.83870967741935</v>
      </c>
    </row>
    <row r="23" spans="2:11" ht="15" x14ac:dyDescent="0.2">
      <c r="B23" s="82">
        <v>3635</v>
      </c>
      <c r="C23" s="83">
        <v>5169</v>
      </c>
      <c r="D23" s="83">
        <v>0</v>
      </c>
      <c r="E23" s="83">
        <v>20000000000</v>
      </c>
      <c r="F23" s="84" t="s">
        <v>15</v>
      </c>
      <c r="G23" s="85">
        <v>300</v>
      </c>
      <c r="H23" s="85">
        <v>300</v>
      </c>
      <c r="I23" s="85">
        <f>12821/100</f>
        <v>128.21</v>
      </c>
      <c r="J23" s="85">
        <v>700</v>
      </c>
      <c r="K23" s="103">
        <f t="shared" si="1"/>
        <v>233.33333333333334</v>
      </c>
    </row>
    <row r="24" spans="2:11" ht="25.5" x14ac:dyDescent="0.2">
      <c r="B24" s="82">
        <v>3635</v>
      </c>
      <c r="C24" s="83">
        <v>5192</v>
      </c>
      <c r="D24" s="83">
        <v>0</v>
      </c>
      <c r="E24" s="83">
        <v>20000000000</v>
      </c>
      <c r="F24" s="84" t="s">
        <v>63</v>
      </c>
      <c r="G24" s="85">
        <v>250</v>
      </c>
      <c r="H24" s="85">
        <v>250</v>
      </c>
      <c r="I24" s="85">
        <f>3814/100</f>
        <v>38.14</v>
      </c>
      <c r="J24" s="85">
        <v>250</v>
      </c>
      <c r="K24" s="103">
        <f t="shared" si="1"/>
        <v>100</v>
      </c>
    </row>
    <row r="25" spans="2:11" ht="15" x14ac:dyDescent="0.2">
      <c r="B25" s="82">
        <v>3636</v>
      </c>
      <c r="C25" s="83">
        <v>5175</v>
      </c>
      <c r="D25" s="83">
        <v>0</v>
      </c>
      <c r="E25" s="83">
        <v>20000000000</v>
      </c>
      <c r="F25" s="84" t="s">
        <v>21</v>
      </c>
      <c r="G25" s="85">
        <v>80</v>
      </c>
      <c r="H25" s="85">
        <v>80</v>
      </c>
      <c r="I25" s="85">
        <f>2673/100</f>
        <v>26.73</v>
      </c>
      <c r="J25" s="85">
        <v>55</v>
      </c>
      <c r="K25" s="103">
        <f t="shared" si="1"/>
        <v>68.75</v>
      </c>
    </row>
    <row r="26" spans="2:11" ht="15" x14ac:dyDescent="0.2">
      <c r="B26" s="82">
        <v>3636</v>
      </c>
      <c r="C26" s="83">
        <v>5175</v>
      </c>
      <c r="D26" s="83">
        <v>0</v>
      </c>
      <c r="E26" s="83">
        <v>20001000000</v>
      </c>
      <c r="F26" s="84" t="s">
        <v>21</v>
      </c>
      <c r="G26" s="85">
        <v>60</v>
      </c>
      <c r="H26" s="85">
        <v>60</v>
      </c>
      <c r="I26" s="85">
        <f>2593/100</f>
        <v>25.93</v>
      </c>
      <c r="J26" s="85">
        <v>30</v>
      </c>
      <c r="K26" s="103">
        <f t="shared" si="1"/>
        <v>50</v>
      </c>
    </row>
    <row r="27" spans="2:11" ht="25.5" x14ac:dyDescent="0.2">
      <c r="B27" s="82">
        <v>3636</v>
      </c>
      <c r="C27" s="83">
        <v>5229</v>
      </c>
      <c r="D27" s="83">
        <v>16</v>
      </c>
      <c r="E27" s="83">
        <v>30101003007</v>
      </c>
      <c r="F27" s="84" t="s">
        <v>86</v>
      </c>
      <c r="G27" s="85">
        <v>70</v>
      </c>
      <c r="H27" s="85">
        <v>70</v>
      </c>
      <c r="I27" s="85">
        <v>70</v>
      </c>
      <c r="J27" s="85">
        <v>70</v>
      </c>
      <c r="K27" s="103">
        <f t="shared" si="1"/>
        <v>100</v>
      </c>
    </row>
    <row r="28" spans="2:11" ht="25.5" x14ac:dyDescent="0.2">
      <c r="B28" s="82">
        <v>3636</v>
      </c>
      <c r="C28" s="83">
        <v>5229</v>
      </c>
      <c r="D28" s="83">
        <v>16</v>
      </c>
      <c r="E28" s="83">
        <v>30101003015</v>
      </c>
      <c r="F28" s="84" t="s">
        <v>86</v>
      </c>
      <c r="G28" s="85">
        <v>280</v>
      </c>
      <c r="H28" s="85">
        <v>280</v>
      </c>
      <c r="I28" s="85">
        <v>280</v>
      </c>
      <c r="J28" s="85">
        <v>280</v>
      </c>
      <c r="K28" s="103">
        <f t="shared" si="1"/>
        <v>100</v>
      </c>
    </row>
    <row r="29" spans="2:11" ht="15" x14ac:dyDescent="0.2">
      <c r="B29" s="82">
        <v>3639</v>
      </c>
      <c r="C29" s="83">
        <v>5164</v>
      </c>
      <c r="D29" s="83">
        <v>0</v>
      </c>
      <c r="E29" s="83">
        <v>20001000000</v>
      </c>
      <c r="F29" s="84" t="s">
        <v>20</v>
      </c>
      <c r="G29" s="85">
        <v>0</v>
      </c>
      <c r="H29" s="85">
        <v>50</v>
      </c>
      <c r="I29" s="85">
        <f>192/100</f>
        <v>1.92</v>
      </c>
      <c r="J29" s="85">
        <v>25</v>
      </c>
      <c r="K29" s="103"/>
    </row>
    <row r="30" spans="2:11" ht="15" x14ac:dyDescent="0.2">
      <c r="B30" s="82">
        <v>3639</v>
      </c>
      <c r="C30" s="83">
        <v>5166</v>
      </c>
      <c r="D30" s="83">
        <v>0</v>
      </c>
      <c r="E30" s="83">
        <v>20004000000</v>
      </c>
      <c r="F30" s="84" t="s">
        <v>42</v>
      </c>
      <c r="G30" s="85">
        <v>2800</v>
      </c>
      <c r="H30" s="85">
        <f>124620/100</f>
        <v>1246.2</v>
      </c>
      <c r="I30" s="85">
        <v>210</v>
      </c>
      <c r="J30" s="85">
        <v>2100</v>
      </c>
      <c r="K30" s="103">
        <f t="shared" ref="K30:K34" si="2">J30/G30*100</f>
        <v>75</v>
      </c>
    </row>
    <row r="31" spans="2:11" ht="15" x14ac:dyDescent="0.2">
      <c r="B31" s="82">
        <v>3639</v>
      </c>
      <c r="C31" s="83">
        <v>5166</v>
      </c>
      <c r="D31" s="83">
        <v>0</v>
      </c>
      <c r="E31" s="83">
        <v>20004100022</v>
      </c>
      <c r="F31" s="84" t="s">
        <v>42</v>
      </c>
      <c r="G31" s="85">
        <v>5000</v>
      </c>
      <c r="H31" s="85">
        <v>2000</v>
      </c>
      <c r="I31" s="85">
        <v>939</v>
      </c>
      <c r="J31" s="85">
        <v>3000</v>
      </c>
      <c r="K31" s="103">
        <f t="shared" si="2"/>
        <v>60</v>
      </c>
    </row>
    <row r="32" spans="2:11" ht="15" x14ac:dyDescent="0.2">
      <c r="B32" s="82">
        <v>3639</v>
      </c>
      <c r="C32" s="83">
        <v>5169</v>
      </c>
      <c r="D32" s="83">
        <v>0</v>
      </c>
      <c r="E32" s="83">
        <v>20000000000</v>
      </c>
      <c r="F32" s="84" t="s">
        <v>15</v>
      </c>
      <c r="G32" s="85">
        <v>2270</v>
      </c>
      <c r="H32" s="85">
        <v>1370</v>
      </c>
      <c r="I32" s="85">
        <f>68959/100</f>
        <v>689.59</v>
      </c>
      <c r="J32" s="85">
        <v>970</v>
      </c>
      <c r="K32" s="103">
        <f t="shared" si="2"/>
        <v>42.731277533039645</v>
      </c>
    </row>
    <row r="33" spans="2:11" ht="15" x14ac:dyDescent="0.2">
      <c r="B33" s="82">
        <v>3639</v>
      </c>
      <c r="C33" s="83">
        <v>5169</v>
      </c>
      <c r="D33" s="83">
        <v>0</v>
      </c>
      <c r="E33" s="83">
        <v>20001000000</v>
      </c>
      <c r="F33" s="84" t="s">
        <v>15</v>
      </c>
      <c r="G33" s="85">
        <v>900</v>
      </c>
      <c r="H33" s="85">
        <v>850</v>
      </c>
      <c r="I33" s="85">
        <f>46473/100</f>
        <v>464.73</v>
      </c>
      <c r="J33" s="85">
        <v>0</v>
      </c>
      <c r="K33" s="103">
        <f t="shared" si="2"/>
        <v>0</v>
      </c>
    </row>
    <row r="34" spans="2:11" ht="15" x14ac:dyDescent="0.2">
      <c r="B34" s="82">
        <v>3639</v>
      </c>
      <c r="C34" s="83">
        <v>5169</v>
      </c>
      <c r="D34" s="83">
        <v>0</v>
      </c>
      <c r="E34" s="83">
        <v>20002000000</v>
      </c>
      <c r="F34" s="84" t="s">
        <v>15</v>
      </c>
      <c r="G34" s="85">
        <v>60</v>
      </c>
      <c r="H34" s="85">
        <v>60</v>
      </c>
      <c r="I34" s="85">
        <v>0</v>
      </c>
      <c r="J34" s="85">
        <v>60</v>
      </c>
      <c r="K34" s="103">
        <f t="shared" si="2"/>
        <v>100</v>
      </c>
    </row>
    <row r="35" spans="2:11" ht="25.5" x14ac:dyDescent="0.2">
      <c r="B35" s="82">
        <v>3639</v>
      </c>
      <c r="C35" s="83">
        <v>5221</v>
      </c>
      <c r="D35" s="83">
        <v>16</v>
      </c>
      <c r="E35" s="83">
        <v>30101000000</v>
      </c>
      <c r="F35" s="84" t="s">
        <v>83</v>
      </c>
      <c r="G35" s="85">
        <v>0</v>
      </c>
      <c r="H35" s="85">
        <v>50</v>
      </c>
      <c r="I35" s="85">
        <v>50</v>
      </c>
      <c r="J35" s="85">
        <v>50</v>
      </c>
      <c r="K35" s="103"/>
    </row>
    <row r="36" spans="2:11" ht="25.5" x14ac:dyDescent="0.2">
      <c r="B36" s="82">
        <v>3639</v>
      </c>
      <c r="C36" s="83">
        <v>5222</v>
      </c>
      <c r="D36" s="83">
        <v>16</v>
      </c>
      <c r="E36" s="83">
        <v>30101000000</v>
      </c>
      <c r="F36" s="84" t="s">
        <v>84</v>
      </c>
      <c r="G36" s="85">
        <v>50</v>
      </c>
      <c r="H36" s="85">
        <v>50</v>
      </c>
      <c r="I36" s="85">
        <v>50</v>
      </c>
      <c r="J36" s="85">
        <v>0</v>
      </c>
      <c r="K36" s="103">
        <f>J36/G36*100</f>
        <v>0</v>
      </c>
    </row>
    <row r="37" spans="2:11" ht="25.5" x14ac:dyDescent="0.2">
      <c r="B37" s="82">
        <v>3639</v>
      </c>
      <c r="C37" s="83">
        <v>5229</v>
      </c>
      <c r="D37" s="83">
        <v>16</v>
      </c>
      <c r="E37" s="83">
        <v>30101000000</v>
      </c>
      <c r="F37" s="84" t="s">
        <v>86</v>
      </c>
      <c r="G37" s="85">
        <v>0</v>
      </c>
      <c r="H37" s="85">
        <v>60</v>
      </c>
      <c r="I37" s="85">
        <v>60</v>
      </c>
      <c r="J37" s="85">
        <v>0</v>
      </c>
      <c r="K37" s="103"/>
    </row>
    <row r="38" spans="2:11" ht="25.5" x14ac:dyDescent="0.2">
      <c r="B38" s="82">
        <v>3639</v>
      </c>
      <c r="C38" s="83">
        <v>5229</v>
      </c>
      <c r="D38" s="83">
        <v>508</v>
      </c>
      <c r="E38" s="83">
        <v>30101000000</v>
      </c>
      <c r="F38" s="97" t="s">
        <v>86</v>
      </c>
      <c r="G38" s="133">
        <v>3700</v>
      </c>
      <c r="H38" s="133">
        <v>3620</v>
      </c>
      <c r="I38" s="133">
        <v>0</v>
      </c>
      <c r="J38" s="133">
        <v>2500</v>
      </c>
      <c r="K38" s="103">
        <f>J38/G38*100</f>
        <v>67.567567567567565</v>
      </c>
    </row>
    <row r="39" spans="2:11" ht="15" x14ac:dyDescent="0.2">
      <c r="B39" s="82">
        <v>3639</v>
      </c>
      <c r="C39" s="83">
        <v>5321</v>
      </c>
      <c r="D39" s="83">
        <v>16</v>
      </c>
      <c r="E39" s="83">
        <v>30100000000</v>
      </c>
      <c r="F39" s="97" t="s">
        <v>106</v>
      </c>
      <c r="G39" s="133">
        <v>500</v>
      </c>
      <c r="H39" s="133">
        <v>500</v>
      </c>
      <c r="I39" s="133">
        <v>0</v>
      </c>
      <c r="J39" s="133">
        <v>500</v>
      </c>
      <c r="K39" s="103">
        <f>J39/G39*100</f>
        <v>100</v>
      </c>
    </row>
    <row r="40" spans="2:11" ht="15" x14ac:dyDescent="0.2">
      <c r="B40" s="82"/>
      <c r="C40" s="83"/>
      <c r="D40" s="83"/>
      <c r="E40" s="83"/>
      <c r="F40" s="294" t="s">
        <v>551</v>
      </c>
      <c r="G40" s="295"/>
      <c r="H40" s="295"/>
      <c r="I40" s="295"/>
      <c r="J40" s="295"/>
      <c r="K40" s="103"/>
    </row>
    <row r="41" spans="2:11" ht="15" x14ac:dyDescent="0.2">
      <c r="B41" s="82">
        <v>3639</v>
      </c>
      <c r="C41" s="83">
        <v>5321</v>
      </c>
      <c r="D41" s="83">
        <v>17</v>
      </c>
      <c r="E41" s="83">
        <v>30100000000</v>
      </c>
      <c r="F41" s="97" t="s">
        <v>106</v>
      </c>
      <c r="G41" s="133">
        <v>40500</v>
      </c>
      <c r="H41" s="133">
        <v>201</v>
      </c>
      <c r="I41" s="133">
        <v>0</v>
      </c>
      <c r="J41" s="133">
        <v>60000</v>
      </c>
      <c r="K41" s="103">
        <f>J41/G41*100</f>
        <v>148.14814814814815</v>
      </c>
    </row>
    <row r="42" spans="2:11" ht="15" x14ac:dyDescent="0.2">
      <c r="B42" s="82">
        <v>2115</v>
      </c>
      <c r="C42" s="83">
        <v>5321</v>
      </c>
      <c r="D42" s="83">
        <v>17</v>
      </c>
      <c r="E42" s="83">
        <v>30100008183</v>
      </c>
      <c r="F42" s="97" t="s">
        <v>106</v>
      </c>
      <c r="G42" s="133">
        <v>0</v>
      </c>
      <c r="H42" s="133">
        <v>229</v>
      </c>
      <c r="I42" s="133">
        <v>229</v>
      </c>
      <c r="J42" s="133">
        <v>0</v>
      </c>
      <c r="K42" s="103"/>
    </row>
    <row r="43" spans="2:11" ht="15" x14ac:dyDescent="0.2">
      <c r="B43" s="82">
        <v>2115</v>
      </c>
      <c r="C43" s="83">
        <v>6341</v>
      </c>
      <c r="D43" s="83">
        <v>17</v>
      </c>
      <c r="E43" s="83">
        <v>30100008183</v>
      </c>
      <c r="F43" s="97" t="s">
        <v>34</v>
      </c>
      <c r="G43" s="133">
        <v>0</v>
      </c>
      <c r="H43" s="133">
        <v>70</v>
      </c>
      <c r="I43" s="133">
        <v>70</v>
      </c>
      <c r="J43" s="133">
        <v>0</v>
      </c>
      <c r="K43" s="103"/>
    </row>
    <row r="44" spans="2:11" ht="15" x14ac:dyDescent="0.2">
      <c r="B44" s="82">
        <v>2212</v>
      </c>
      <c r="C44" s="83">
        <v>5321</v>
      </c>
      <c r="D44" s="83">
        <v>17</v>
      </c>
      <c r="E44" s="83"/>
      <c r="F44" s="84" t="s">
        <v>106</v>
      </c>
      <c r="G44" s="85"/>
      <c r="H44" s="85">
        <v>3130</v>
      </c>
      <c r="I44" s="85">
        <v>3072</v>
      </c>
      <c r="J44" s="85"/>
      <c r="K44" s="103"/>
    </row>
    <row r="45" spans="2:11" ht="15" x14ac:dyDescent="0.2">
      <c r="B45" s="82">
        <v>2212</v>
      </c>
      <c r="C45" s="83">
        <v>6341</v>
      </c>
      <c r="D45" s="83">
        <v>17</v>
      </c>
      <c r="E45" s="83"/>
      <c r="F45" s="84" t="s">
        <v>34</v>
      </c>
      <c r="G45" s="85">
        <v>0</v>
      </c>
      <c r="H45" s="85">
        <v>4464</v>
      </c>
      <c r="I45" s="85">
        <v>4464</v>
      </c>
      <c r="J45" s="85">
        <v>0</v>
      </c>
      <c r="K45" s="103"/>
    </row>
    <row r="46" spans="2:11" ht="15" x14ac:dyDescent="0.2">
      <c r="B46" s="82">
        <v>2219</v>
      </c>
      <c r="C46" s="83">
        <v>5321</v>
      </c>
      <c r="D46" s="83">
        <v>17</v>
      </c>
      <c r="E46" s="83"/>
      <c r="F46" s="84" t="s">
        <v>106</v>
      </c>
      <c r="G46" s="85">
        <v>0</v>
      </c>
      <c r="H46" s="85">
        <v>2503</v>
      </c>
      <c r="I46" s="85">
        <v>2503</v>
      </c>
      <c r="J46" s="85">
        <v>0</v>
      </c>
      <c r="K46" s="103"/>
    </row>
    <row r="47" spans="2:11" ht="15" x14ac:dyDescent="0.2">
      <c r="B47" s="82">
        <v>2219</v>
      </c>
      <c r="C47" s="83">
        <v>6341</v>
      </c>
      <c r="D47" s="83">
        <v>17</v>
      </c>
      <c r="E47" s="83"/>
      <c r="F47" s="84" t="s">
        <v>34</v>
      </c>
      <c r="G47" s="85">
        <v>0</v>
      </c>
      <c r="H47" s="85">
        <v>1822</v>
      </c>
      <c r="I47" s="85">
        <v>1822</v>
      </c>
      <c r="J47" s="85">
        <v>0</v>
      </c>
      <c r="K47" s="103"/>
    </row>
    <row r="48" spans="2:11" ht="15" x14ac:dyDescent="0.2">
      <c r="B48" s="82">
        <v>3322</v>
      </c>
      <c r="C48" s="83">
        <v>5321</v>
      </c>
      <c r="D48" s="83">
        <v>17</v>
      </c>
      <c r="E48" s="83">
        <v>30100008335</v>
      </c>
      <c r="F48" s="84" t="s">
        <v>106</v>
      </c>
      <c r="G48" s="85">
        <v>0</v>
      </c>
      <c r="H48" s="85">
        <v>54</v>
      </c>
      <c r="I48" s="85">
        <v>54</v>
      </c>
      <c r="J48" s="85">
        <v>0</v>
      </c>
      <c r="K48" s="103"/>
    </row>
    <row r="49" spans="2:11" ht="15" x14ac:dyDescent="0.2">
      <c r="B49" s="82">
        <v>3399</v>
      </c>
      <c r="C49" s="83">
        <v>6322</v>
      </c>
      <c r="D49" s="83">
        <v>17</v>
      </c>
      <c r="E49" s="83">
        <v>30101003024</v>
      </c>
      <c r="F49" s="84" t="s">
        <v>82</v>
      </c>
      <c r="G49" s="85">
        <v>0</v>
      </c>
      <c r="H49" s="85">
        <v>325</v>
      </c>
      <c r="I49" s="85">
        <v>325</v>
      </c>
      <c r="J49" s="85">
        <v>0</v>
      </c>
      <c r="K49" s="103"/>
    </row>
    <row r="50" spans="2:11" ht="25.5" x14ac:dyDescent="0.2">
      <c r="B50" s="82">
        <v>3399</v>
      </c>
      <c r="C50" s="83">
        <v>6349</v>
      </c>
      <c r="D50" s="83">
        <v>17</v>
      </c>
      <c r="E50" s="83"/>
      <c r="F50" s="84" t="s">
        <v>196</v>
      </c>
      <c r="G50" s="85">
        <v>0</v>
      </c>
      <c r="H50" s="158">
        <v>1358</v>
      </c>
      <c r="I50" s="85">
        <v>1358</v>
      </c>
      <c r="J50" s="85">
        <v>0</v>
      </c>
      <c r="K50" s="103"/>
    </row>
    <row r="51" spans="2:11" ht="25.5" x14ac:dyDescent="0.2">
      <c r="B51" s="82">
        <v>3419</v>
      </c>
      <c r="C51" s="83">
        <v>6349</v>
      </c>
      <c r="D51" s="83">
        <v>17</v>
      </c>
      <c r="E51" s="83"/>
      <c r="F51" s="84" t="s">
        <v>196</v>
      </c>
      <c r="G51" s="85">
        <v>0</v>
      </c>
      <c r="H51" s="85">
        <v>551</v>
      </c>
      <c r="I51" s="85">
        <v>551</v>
      </c>
      <c r="J51" s="85">
        <v>0</v>
      </c>
      <c r="K51" s="103"/>
    </row>
    <row r="52" spans="2:11" ht="25.5" x14ac:dyDescent="0.2">
      <c r="B52" s="82">
        <v>3429</v>
      </c>
      <c r="C52" s="83">
        <v>6321</v>
      </c>
      <c r="D52" s="83">
        <v>17</v>
      </c>
      <c r="E52" s="83">
        <v>30101003021</v>
      </c>
      <c r="F52" s="84" t="s">
        <v>144</v>
      </c>
      <c r="G52" s="85">
        <v>0</v>
      </c>
      <c r="H52" s="85">
        <v>252</v>
      </c>
      <c r="I52" s="85">
        <v>252</v>
      </c>
      <c r="J52" s="85">
        <v>0</v>
      </c>
      <c r="K52" s="103"/>
    </row>
    <row r="53" spans="2:11" ht="25.5" x14ac:dyDescent="0.2">
      <c r="B53" s="82">
        <v>3429</v>
      </c>
      <c r="C53" s="83">
        <v>6349</v>
      </c>
      <c r="D53" s="83">
        <v>17</v>
      </c>
      <c r="E53" s="83"/>
      <c r="F53" s="84" t="s">
        <v>196</v>
      </c>
      <c r="G53" s="85">
        <v>0</v>
      </c>
      <c r="H53" s="85">
        <v>342</v>
      </c>
      <c r="I53" s="85">
        <v>337</v>
      </c>
      <c r="J53" s="85">
        <v>0</v>
      </c>
      <c r="K53" s="103"/>
    </row>
    <row r="54" spans="2:11" ht="15" x14ac:dyDescent="0.2">
      <c r="B54" s="82">
        <v>3631</v>
      </c>
      <c r="C54" s="83">
        <v>5321</v>
      </c>
      <c r="D54" s="83">
        <v>17</v>
      </c>
      <c r="E54" s="83"/>
      <c r="F54" s="84" t="s">
        <v>106</v>
      </c>
      <c r="G54" s="85">
        <v>0</v>
      </c>
      <c r="H54" s="85">
        <v>1925</v>
      </c>
      <c r="I54" s="85">
        <v>1925</v>
      </c>
      <c r="J54" s="85">
        <v>0</v>
      </c>
      <c r="K54" s="103"/>
    </row>
    <row r="55" spans="2:11" ht="15.75" thickBot="1" x14ac:dyDescent="0.25">
      <c r="B55" s="92">
        <v>3631</v>
      </c>
      <c r="C55" s="93">
        <v>6341</v>
      </c>
      <c r="D55" s="93">
        <v>17</v>
      </c>
      <c r="E55" s="93"/>
      <c r="F55" s="94" t="s">
        <v>34</v>
      </c>
      <c r="G55" s="95">
        <v>0</v>
      </c>
      <c r="H55" s="95">
        <v>1333</v>
      </c>
      <c r="I55" s="95">
        <v>1333</v>
      </c>
      <c r="J55" s="95">
        <v>0</v>
      </c>
      <c r="K55" s="111"/>
    </row>
    <row r="56" spans="2:11" ht="15" x14ac:dyDescent="0.2">
      <c r="B56" s="118"/>
      <c r="C56" s="118"/>
      <c r="D56" s="118"/>
      <c r="E56" s="118"/>
      <c r="F56" s="119"/>
      <c r="G56" s="31"/>
      <c r="H56" s="163"/>
      <c r="I56" s="31"/>
      <c r="J56" s="31"/>
      <c r="K56" s="109"/>
    </row>
    <row r="57" spans="2:11" ht="13.5" thickBot="1" x14ac:dyDescent="0.25">
      <c r="B57" s="5"/>
      <c r="C57" s="5"/>
      <c r="D57" s="5"/>
      <c r="E57" s="5"/>
      <c r="F57" s="5"/>
      <c r="G57" s="5"/>
      <c r="H57" s="5"/>
      <c r="I57" s="5"/>
      <c r="J57" s="5"/>
      <c r="K57" s="99" t="s">
        <v>3</v>
      </c>
    </row>
    <row r="58" spans="2:11" ht="35.1" customHeight="1" x14ac:dyDescent="0.2">
      <c r="B58" s="7" t="s">
        <v>4</v>
      </c>
      <c r="C58" s="8" t="s">
        <v>5</v>
      </c>
      <c r="D58" s="8" t="s">
        <v>6</v>
      </c>
      <c r="E58" s="8" t="s">
        <v>7</v>
      </c>
      <c r="F58" s="6" t="s">
        <v>8</v>
      </c>
      <c r="G58" s="6" t="s">
        <v>9</v>
      </c>
      <c r="H58" s="6" t="s">
        <v>10</v>
      </c>
      <c r="I58" s="6" t="s">
        <v>11</v>
      </c>
      <c r="J58" s="6" t="s">
        <v>12</v>
      </c>
      <c r="K58" s="100" t="s">
        <v>13</v>
      </c>
    </row>
    <row r="59" spans="2:11" ht="13.5" thickBot="1" x14ac:dyDescent="0.25">
      <c r="B59" s="10">
        <v>1</v>
      </c>
      <c r="C59" s="11">
        <v>2</v>
      </c>
      <c r="D59" s="11">
        <v>3</v>
      </c>
      <c r="E59" s="11">
        <v>4</v>
      </c>
      <c r="F59" s="12">
        <v>5</v>
      </c>
      <c r="G59" s="12">
        <v>6</v>
      </c>
      <c r="H59" s="12">
        <v>7</v>
      </c>
      <c r="I59" s="12">
        <v>8</v>
      </c>
      <c r="J59" s="12">
        <v>9</v>
      </c>
      <c r="K59" s="101" t="s">
        <v>14</v>
      </c>
    </row>
    <row r="60" spans="2:11" ht="15" x14ac:dyDescent="0.2">
      <c r="B60" s="82">
        <v>3636</v>
      </c>
      <c r="C60" s="83">
        <v>5321</v>
      </c>
      <c r="D60" s="83">
        <v>17</v>
      </c>
      <c r="E60" s="83"/>
      <c r="F60" s="84" t="s">
        <v>106</v>
      </c>
      <c r="G60" s="85"/>
      <c r="H60" s="85">
        <v>10795</v>
      </c>
      <c r="I60" s="85">
        <v>10795</v>
      </c>
      <c r="J60" s="85">
        <v>0</v>
      </c>
      <c r="K60" s="103"/>
    </row>
    <row r="61" spans="2:11" ht="15" x14ac:dyDescent="0.2">
      <c r="B61" s="82">
        <v>3636</v>
      </c>
      <c r="C61" s="83">
        <v>6341</v>
      </c>
      <c r="D61" s="83">
        <v>17</v>
      </c>
      <c r="E61" s="83"/>
      <c r="F61" s="84" t="s">
        <v>34</v>
      </c>
      <c r="G61" s="85"/>
      <c r="H61" s="85">
        <v>10032</v>
      </c>
      <c r="I61" s="85">
        <v>10032</v>
      </c>
      <c r="J61" s="85"/>
      <c r="K61" s="103"/>
    </row>
    <row r="62" spans="2:11" ht="25.5" x14ac:dyDescent="0.2">
      <c r="B62" s="82">
        <v>3636</v>
      </c>
      <c r="C62" s="83">
        <v>6349</v>
      </c>
      <c r="D62" s="83">
        <v>17</v>
      </c>
      <c r="E62" s="83"/>
      <c r="F62" s="84" t="s">
        <v>196</v>
      </c>
      <c r="G62" s="85">
        <v>0</v>
      </c>
      <c r="H62" s="85">
        <v>3709</v>
      </c>
      <c r="I62" s="85">
        <v>3709</v>
      </c>
      <c r="J62" s="85">
        <v>0</v>
      </c>
      <c r="K62" s="103"/>
    </row>
    <row r="63" spans="2:11" ht="15" x14ac:dyDescent="0.2">
      <c r="B63" s="82">
        <v>5519</v>
      </c>
      <c r="C63" s="83">
        <v>5321</v>
      </c>
      <c r="D63" s="83">
        <v>17</v>
      </c>
      <c r="E63" s="83">
        <v>30100008166</v>
      </c>
      <c r="F63" s="84" t="s">
        <v>106</v>
      </c>
      <c r="G63" s="85">
        <v>0</v>
      </c>
      <c r="H63" s="85">
        <v>425</v>
      </c>
      <c r="I63" s="85">
        <v>425</v>
      </c>
      <c r="J63" s="85">
        <v>0</v>
      </c>
      <c r="K63" s="103"/>
    </row>
    <row r="64" spans="2:11" ht="15" x14ac:dyDescent="0.2">
      <c r="B64" s="82">
        <v>5519</v>
      </c>
      <c r="C64" s="83">
        <v>6341</v>
      </c>
      <c r="D64" s="83">
        <v>17</v>
      </c>
      <c r="E64" s="83"/>
      <c r="F64" s="84" t="s">
        <v>34</v>
      </c>
      <c r="G64" s="85">
        <v>0</v>
      </c>
      <c r="H64" s="85">
        <v>1480</v>
      </c>
      <c r="I64" s="85">
        <v>1480</v>
      </c>
      <c r="J64" s="85">
        <v>0</v>
      </c>
      <c r="K64" s="103"/>
    </row>
    <row r="65" spans="2:11" ht="14.25" x14ac:dyDescent="0.2">
      <c r="B65" s="82"/>
      <c r="C65" s="83"/>
      <c r="D65" s="83"/>
      <c r="E65" s="83"/>
      <c r="F65" s="84"/>
      <c r="G65" s="87">
        <f>SUM(G41:G55,G60:G64)</f>
        <v>40500</v>
      </c>
      <c r="H65" s="87">
        <f t="shared" ref="H65:J65" si="3">SUM(H41:H55,H60:H64)</f>
        <v>45000</v>
      </c>
      <c r="I65" s="87">
        <f t="shared" si="3"/>
        <v>44736</v>
      </c>
      <c r="J65" s="87">
        <f t="shared" si="3"/>
        <v>60000</v>
      </c>
      <c r="K65" s="104">
        <f>J65/G65*100</f>
        <v>148.14814814814815</v>
      </c>
    </row>
    <row r="66" spans="2:11" ht="26.25" customHeight="1" x14ac:dyDescent="0.2">
      <c r="B66" s="82"/>
      <c r="C66" s="83"/>
      <c r="D66" s="83"/>
      <c r="E66" s="83"/>
      <c r="F66" s="276" t="s">
        <v>553</v>
      </c>
      <c r="G66" s="277"/>
      <c r="H66" s="277"/>
      <c r="I66" s="278"/>
      <c r="J66" s="278"/>
      <c r="K66" s="296"/>
    </row>
    <row r="67" spans="2:11" ht="15" x14ac:dyDescent="0.2">
      <c r="B67" s="82">
        <v>3699</v>
      </c>
      <c r="C67" s="83">
        <v>5169</v>
      </c>
      <c r="D67" s="83">
        <v>29</v>
      </c>
      <c r="E67" s="83">
        <v>20000000000</v>
      </c>
      <c r="F67" s="84" t="s">
        <v>15</v>
      </c>
      <c r="G67" s="85">
        <v>0</v>
      </c>
      <c r="H67" s="85">
        <v>112</v>
      </c>
      <c r="I67" s="85">
        <v>112</v>
      </c>
      <c r="J67" s="85">
        <v>0</v>
      </c>
      <c r="K67" s="103"/>
    </row>
    <row r="68" spans="2:11" ht="25.5" x14ac:dyDescent="0.2">
      <c r="B68" s="82">
        <v>3699</v>
      </c>
      <c r="C68" s="83">
        <v>6313</v>
      </c>
      <c r="D68" s="83">
        <v>24</v>
      </c>
      <c r="E68" s="83">
        <v>30102000000</v>
      </c>
      <c r="F68" s="84" t="s">
        <v>145</v>
      </c>
      <c r="G68" s="85">
        <v>0</v>
      </c>
      <c r="H68" s="85">
        <f>13023/100</f>
        <v>130.22999999999999</v>
      </c>
      <c r="I68" s="85">
        <f>13023/100</f>
        <v>130.22999999999999</v>
      </c>
      <c r="J68" s="85">
        <v>0</v>
      </c>
      <c r="K68" s="103"/>
    </row>
    <row r="69" spans="2:11" ht="25.5" x14ac:dyDescent="0.2">
      <c r="B69" s="82">
        <v>3699</v>
      </c>
      <c r="C69" s="83">
        <v>6313</v>
      </c>
      <c r="D69" s="83">
        <v>29</v>
      </c>
      <c r="E69" s="83">
        <v>30102000000</v>
      </c>
      <c r="F69" s="84" t="s">
        <v>145</v>
      </c>
      <c r="G69" s="85">
        <v>0</v>
      </c>
      <c r="H69" s="85">
        <f>79809/100</f>
        <v>798.09</v>
      </c>
      <c r="I69" s="85">
        <f>79809/100</f>
        <v>798.09</v>
      </c>
      <c r="J69" s="85">
        <v>0</v>
      </c>
      <c r="K69" s="103"/>
    </row>
    <row r="70" spans="2:11" ht="25.5" x14ac:dyDescent="0.2">
      <c r="B70" s="82">
        <v>3699</v>
      </c>
      <c r="C70" s="83">
        <v>6324</v>
      </c>
      <c r="D70" s="83">
        <v>24</v>
      </c>
      <c r="E70" s="83">
        <v>30102000000</v>
      </c>
      <c r="F70" s="84" t="s">
        <v>197</v>
      </c>
      <c r="G70" s="85">
        <v>0</v>
      </c>
      <c r="H70" s="85">
        <f>186977/100</f>
        <v>1869.77</v>
      </c>
      <c r="I70" s="85">
        <f>177478/100</f>
        <v>1774.78</v>
      </c>
      <c r="J70" s="85">
        <v>0</v>
      </c>
      <c r="K70" s="103"/>
    </row>
    <row r="71" spans="2:11" ht="25.5" x14ac:dyDescent="0.2">
      <c r="B71" s="82">
        <v>3699</v>
      </c>
      <c r="C71" s="83">
        <v>6324</v>
      </c>
      <c r="D71" s="83">
        <v>29</v>
      </c>
      <c r="E71" s="83">
        <v>30102000000</v>
      </c>
      <c r="F71" s="84" t="s">
        <v>197</v>
      </c>
      <c r="G71" s="85">
        <v>0</v>
      </c>
      <c r="H71" s="85">
        <f>3361/100</f>
        <v>33.61</v>
      </c>
      <c r="I71" s="85">
        <f>3361/100</f>
        <v>33.61</v>
      </c>
      <c r="J71" s="85">
        <v>0</v>
      </c>
      <c r="K71" s="103"/>
    </row>
    <row r="72" spans="2:11" ht="15" x14ac:dyDescent="0.2">
      <c r="B72" s="82">
        <v>3699</v>
      </c>
      <c r="C72" s="83">
        <v>6341</v>
      </c>
      <c r="D72" s="83">
        <v>29</v>
      </c>
      <c r="E72" s="83">
        <v>30100008362</v>
      </c>
      <c r="F72" s="84" t="s">
        <v>34</v>
      </c>
      <c r="G72" s="85">
        <v>0</v>
      </c>
      <c r="H72" s="85">
        <f>1981/100</f>
        <v>19.809999999999999</v>
      </c>
      <c r="I72" s="85">
        <f>1981/100</f>
        <v>19.809999999999999</v>
      </c>
      <c r="J72" s="85">
        <v>0</v>
      </c>
      <c r="K72" s="103"/>
    </row>
    <row r="73" spans="2:11" ht="25.5" x14ac:dyDescent="0.2">
      <c r="B73" s="82">
        <v>3699</v>
      </c>
      <c r="C73" s="83">
        <v>6371</v>
      </c>
      <c r="D73" s="83">
        <v>29</v>
      </c>
      <c r="E73" s="83">
        <v>30102000000</v>
      </c>
      <c r="F73" s="84" t="s">
        <v>198</v>
      </c>
      <c r="G73" s="85">
        <v>0</v>
      </c>
      <c r="H73" s="85">
        <f>346195/100</f>
        <v>3461.95</v>
      </c>
      <c r="I73" s="85">
        <f>343620/100</f>
        <v>3436.2</v>
      </c>
      <c r="J73" s="85">
        <v>0</v>
      </c>
      <c r="K73" s="103"/>
    </row>
    <row r="74" spans="2:11" ht="14.25" x14ac:dyDescent="0.2">
      <c r="B74" s="82"/>
      <c r="C74" s="83"/>
      <c r="D74" s="83"/>
      <c r="E74" s="83"/>
      <c r="F74" s="84"/>
      <c r="G74" s="87">
        <f>SUM(G67:G73)</f>
        <v>0</v>
      </c>
      <c r="H74" s="87">
        <f>SUM(H67:H73)</f>
        <v>6425.46</v>
      </c>
      <c r="I74" s="87">
        <f>SUM(I67:I73)</f>
        <v>6304.7199999999993</v>
      </c>
      <c r="J74" s="87">
        <f>SUM(J67:J73)</f>
        <v>0</v>
      </c>
      <c r="K74" s="104"/>
    </row>
    <row r="75" spans="2:11" ht="15" x14ac:dyDescent="0.2">
      <c r="B75" s="82">
        <v>3713</v>
      </c>
      <c r="C75" s="83">
        <v>5169</v>
      </c>
      <c r="D75" s="83">
        <v>0</v>
      </c>
      <c r="E75" s="83">
        <v>20000000000</v>
      </c>
      <c r="F75" s="84" t="s">
        <v>15</v>
      </c>
      <c r="G75" s="85">
        <v>247</v>
      </c>
      <c r="H75" s="85">
        <v>247</v>
      </c>
      <c r="I75" s="85">
        <f>13905/100</f>
        <v>139.05000000000001</v>
      </c>
      <c r="J75" s="85">
        <v>1602</v>
      </c>
      <c r="K75" s="103">
        <f>J75/G75*100</f>
        <v>648.58299595141705</v>
      </c>
    </row>
    <row r="76" spans="2:11" ht="15" x14ac:dyDescent="0.2">
      <c r="B76" s="82">
        <v>3713</v>
      </c>
      <c r="C76" s="83">
        <v>6122</v>
      </c>
      <c r="D76" s="83">
        <v>0</v>
      </c>
      <c r="E76" s="83">
        <v>20000000000</v>
      </c>
      <c r="F76" s="84" t="s">
        <v>54</v>
      </c>
      <c r="G76" s="85">
        <v>2000</v>
      </c>
      <c r="H76" s="85">
        <f>57454/100</f>
        <v>574.54</v>
      </c>
      <c r="I76" s="85">
        <v>0</v>
      </c>
      <c r="J76" s="85">
        <v>0</v>
      </c>
      <c r="K76" s="103">
        <f>J76/G76*100</f>
        <v>0</v>
      </c>
    </row>
    <row r="77" spans="2:11" ht="15" x14ac:dyDescent="0.2">
      <c r="B77" s="82">
        <v>3713</v>
      </c>
      <c r="C77" s="83">
        <v>6122</v>
      </c>
      <c r="D77" s="83">
        <v>0</v>
      </c>
      <c r="E77" s="83">
        <v>60001000000</v>
      </c>
      <c r="F77" s="84" t="s">
        <v>54</v>
      </c>
      <c r="G77" s="85">
        <v>1371</v>
      </c>
      <c r="H77" s="85">
        <v>1371</v>
      </c>
      <c r="I77" s="85">
        <f>102706/100</f>
        <v>1027.06</v>
      </c>
      <c r="J77" s="85">
        <v>1371</v>
      </c>
      <c r="K77" s="103">
        <f>J77/G77*100</f>
        <v>100</v>
      </c>
    </row>
    <row r="78" spans="2:11" ht="15" x14ac:dyDescent="0.2">
      <c r="B78" s="82">
        <v>3713</v>
      </c>
      <c r="C78" s="83">
        <v>6122</v>
      </c>
      <c r="D78" s="83">
        <v>0</v>
      </c>
      <c r="E78" s="83">
        <v>60002000000</v>
      </c>
      <c r="F78" s="84" t="s">
        <v>54</v>
      </c>
      <c r="G78" s="85">
        <v>256</v>
      </c>
      <c r="H78" s="85">
        <v>256</v>
      </c>
      <c r="I78" s="85">
        <f>19137/100</f>
        <v>191.37</v>
      </c>
      <c r="J78" s="85">
        <v>256</v>
      </c>
      <c r="K78" s="103">
        <f>J78/G78*100</f>
        <v>100</v>
      </c>
    </row>
    <row r="79" spans="2:11" ht="15" x14ac:dyDescent="0.2">
      <c r="B79" s="82">
        <v>6222</v>
      </c>
      <c r="C79" s="83">
        <v>5169</v>
      </c>
      <c r="D79" s="83">
        <v>0</v>
      </c>
      <c r="E79" s="83">
        <v>60010100668</v>
      </c>
      <c r="F79" s="84" t="s">
        <v>15</v>
      </c>
      <c r="G79" s="85">
        <v>0</v>
      </c>
      <c r="H79" s="85">
        <v>118</v>
      </c>
      <c r="I79" s="85">
        <f>770/100</f>
        <v>7.7</v>
      </c>
      <c r="J79" s="85">
        <v>0</v>
      </c>
      <c r="K79" s="103"/>
    </row>
    <row r="80" spans="2:11" ht="15" x14ac:dyDescent="0.2">
      <c r="B80" s="82">
        <v>6223</v>
      </c>
      <c r="C80" s="83">
        <v>5169</v>
      </c>
      <c r="D80" s="83">
        <v>0</v>
      </c>
      <c r="E80" s="83">
        <v>20000000000</v>
      </c>
      <c r="F80" s="84" t="s">
        <v>15</v>
      </c>
      <c r="G80" s="85">
        <v>0</v>
      </c>
      <c r="H80" s="85">
        <v>0</v>
      </c>
      <c r="I80" s="85">
        <v>0</v>
      </c>
      <c r="J80" s="85">
        <v>166</v>
      </c>
      <c r="K80" s="103"/>
    </row>
    <row r="81" spans="2:11" ht="15.75" thickBot="1" x14ac:dyDescent="0.25">
      <c r="B81" s="92">
        <v>6223</v>
      </c>
      <c r="C81" s="93">
        <v>5169</v>
      </c>
      <c r="D81" s="93">
        <v>508</v>
      </c>
      <c r="E81" s="93">
        <v>20001000000</v>
      </c>
      <c r="F81" s="94" t="s">
        <v>15</v>
      </c>
      <c r="G81" s="95">
        <v>0</v>
      </c>
      <c r="H81" s="95">
        <v>75</v>
      </c>
      <c r="I81" s="95">
        <v>75</v>
      </c>
      <c r="J81" s="95">
        <v>0</v>
      </c>
      <c r="K81" s="103"/>
    </row>
    <row r="82" spans="2:11" ht="15.75" thickBot="1" x14ac:dyDescent="0.25">
      <c r="B82" s="18" t="s">
        <v>25</v>
      </c>
      <c r="C82" s="19"/>
      <c r="D82" s="19"/>
      <c r="E82" s="19"/>
      <c r="F82" s="20"/>
      <c r="G82" s="21">
        <f>SUM(G75:G81,G74,G65,G22:G39,G21,G10:G12)</f>
        <v>79494</v>
      </c>
      <c r="H82" s="21">
        <f>SUM(H75:H81,H74,H65,H22:H39,H21,H10:H12)</f>
        <v>83053.2</v>
      </c>
      <c r="I82" s="21">
        <f>SUM(I75:I81,I74,I65,I22:I39,I21,I10:I12)</f>
        <v>71182.950000000012</v>
      </c>
      <c r="J82" s="21">
        <f>SUM(J75:J81,J74,J65,J22:J39,J21,J10:J12)</f>
        <v>96295</v>
      </c>
      <c r="K82" s="106">
        <f>J82/G82*100</f>
        <v>121.13492842227087</v>
      </c>
    </row>
    <row r="83" spans="2:11" x14ac:dyDescent="0.2">
      <c r="F83" s="1"/>
      <c r="G83" s="1"/>
      <c r="H83" s="1"/>
      <c r="I83" s="1"/>
      <c r="J83" s="1"/>
    </row>
    <row r="84" spans="2:11" x14ac:dyDescent="0.2">
      <c r="F84" s="1"/>
      <c r="G84" s="1"/>
      <c r="H84" s="1"/>
      <c r="I84" s="1"/>
      <c r="J84" s="1"/>
    </row>
    <row r="85" spans="2:11" x14ac:dyDescent="0.2">
      <c r="F85" s="1"/>
      <c r="G85" s="1"/>
      <c r="H85" s="1"/>
      <c r="I85" s="1"/>
      <c r="J85" s="1"/>
    </row>
    <row r="86" spans="2:11" s="123" customFormat="1" ht="14.25" x14ac:dyDescent="0.2">
      <c r="B86" s="122"/>
      <c r="F86" s="185"/>
      <c r="G86" s="185"/>
      <c r="H86" s="185"/>
      <c r="I86" s="185"/>
      <c r="J86" s="185"/>
      <c r="K86" s="186"/>
    </row>
    <row r="87" spans="2:11" s="198" customFormat="1" ht="15.75" thickBot="1" x14ac:dyDescent="0.25">
      <c r="B87" s="159" t="s">
        <v>199</v>
      </c>
      <c r="C87" s="159"/>
      <c r="D87" s="159"/>
      <c r="E87" s="159"/>
      <c r="F87" s="160"/>
      <c r="G87" s="160"/>
      <c r="H87" s="161"/>
      <c r="I87" s="161"/>
      <c r="J87" s="161">
        <v>3000</v>
      </c>
      <c r="K87" s="175" t="s">
        <v>27</v>
      </c>
    </row>
    <row r="88" spans="2:11" s="198" customFormat="1" ht="82.5" customHeight="1" thickTop="1" x14ac:dyDescent="0.2">
      <c r="B88" s="288" t="s">
        <v>600</v>
      </c>
      <c r="C88" s="289"/>
      <c r="D88" s="289"/>
      <c r="E88" s="289"/>
      <c r="F88" s="289"/>
      <c r="G88" s="289"/>
      <c r="H88" s="289"/>
      <c r="I88" s="289"/>
      <c r="J88" s="289"/>
      <c r="K88" s="289"/>
    </row>
    <row r="89" spans="2:11" s="198" customFormat="1" ht="15.75" thickBot="1" x14ac:dyDescent="0.25">
      <c r="B89" s="159" t="s">
        <v>200</v>
      </c>
      <c r="C89" s="159"/>
      <c r="D89" s="159"/>
      <c r="E89" s="159"/>
      <c r="F89" s="160"/>
      <c r="G89" s="160"/>
      <c r="H89" s="161"/>
      <c r="I89" s="161"/>
      <c r="J89" s="161">
        <v>5000</v>
      </c>
      <c r="K89" s="175" t="s">
        <v>27</v>
      </c>
    </row>
    <row r="90" spans="2:11" s="198" customFormat="1" ht="63.75" customHeight="1" thickTop="1" x14ac:dyDescent="0.2">
      <c r="B90" s="288" t="s">
        <v>682</v>
      </c>
      <c r="C90" s="289"/>
      <c r="D90" s="289"/>
      <c r="E90" s="289"/>
      <c r="F90" s="289"/>
      <c r="G90" s="289"/>
      <c r="H90" s="289"/>
      <c r="I90" s="289"/>
      <c r="J90" s="289"/>
      <c r="K90" s="289"/>
    </row>
    <row r="91" spans="2:11" s="198" customFormat="1" ht="15.75" thickBot="1" x14ac:dyDescent="0.25">
      <c r="B91" s="159" t="s">
        <v>156</v>
      </c>
      <c r="C91" s="159"/>
      <c r="D91" s="159"/>
      <c r="E91" s="159"/>
      <c r="F91" s="160"/>
      <c r="G91" s="160"/>
      <c r="H91" s="161"/>
      <c r="I91" s="161"/>
      <c r="J91" s="161">
        <v>2000</v>
      </c>
      <c r="K91" s="175" t="s">
        <v>27</v>
      </c>
    </row>
    <row r="92" spans="2:11" s="198" customFormat="1" ht="57" customHeight="1" thickTop="1" x14ac:dyDescent="0.2">
      <c r="B92" s="288" t="s">
        <v>601</v>
      </c>
      <c r="C92" s="289"/>
      <c r="D92" s="289"/>
      <c r="E92" s="289"/>
      <c r="F92" s="289"/>
      <c r="G92" s="289"/>
      <c r="H92" s="289"/>
      <c r="I92" s="289"/>
      <c r="J92" s="289"/>
      <c r="K92" s="289"/>
    </row>
    <row r="93" spans="2:11" s="123" customFormat="1" ht="16.5" customHeight="1" x14ac:dyDescent="0.2">
      <c r="B93" s="273" t="s">
        <v>552</v>
      </c>
      <c r="C93" s="274"/>
      <c r="D93" s="274"/>
      <c r="E93" s="274"/>
      <c r="F93" s="274"/>
      <c r="G93" s="274"/>
      <c r="H93" s="274"/>
      <c r="I93" s="187"/>
      <c r="J93" s="187"/>
      <c r="K93" s="207"/>
    </row>
    <row r="94" spans="2:11" s="198" customFormat="1" ht="15.75" thickBot="1" x14ac:dyDescent="0.25">
      <c r="B94" s="159" t="s">
        <v>201</v>
      </c>
      <c r="C94" s="159"/>
      <c r="D94" s="159"/>
      <c r="E94" s="159"/>
      <c r="F94" s="160"/>
      <c r="G94" s="160"/>
      <c r="H94" s="161"/>
      <c r="I94" s="161"/>
      <c r="J94" s="161">
        <v>280</v>
      </c>
      <c r="K94" s="175" t="s">
        <v>27</v>
      </c>
    </row>
    <row r="95" spans="2:11" s="198" customFormat="1" ht="66.75" customHeight="1" thickTop="1" x14ac:dyDescent="0.2">
      <c r="B95" s="288" t="s">
        <v>602</v>
      </c>
      <c r="C95" s="289"/>
      <c r="D95" s="289"/>
      <c r="E95" s="289"/>
      <c r="F95" s="289"/>
      <c r="G95" s="289"/>
      <c r="H95" s="289"/>
      <c r="I95" s="289"/>
      <c r="J95" s="289"/>
      <c r="K95" s="289"/>
    </row>
    <row r="96" spans="2:11" s="198" customFormat="1" ht="15.75" thickBot="1" x14ac:dyDescent="0.25">
      <c r="B96" s="159" t="s">
        <v>208</v>
      </c>
      <c r="C96" s="159"/>
      <c r="D96" s="159"/>
      <c r="E96" s="159"/>
      <c r="F96" s="160"/>
      <c r="G96" s="160"/>
      <c r="H96" s="161"/>
      <c r="I96" s="161"/>
      <c r="J96" s="161">
        <v>750</v>
      </c>
      <c r="K96" s="175" t="s">
        <v>27</v>
      </c>
    </row>
    <row r="97" spans="2:12" s="198" customFormat="1" ht="126" customHeight="1" thickTop="1" x14ac:dyDescent="0.2">
      <c r="B97" s="288" t="s">
        <v>689</v>
      </c>
      <c r="C97" s="289"/>
      <c r="D97" s="289"/>
      <c r="E97" s="289"/>
      <c r="F97" s="289"/>
      <c r="G97" s="289"/>
      <c r="H97" s="289"/>
      <c r="I97" s="289"/>
      <c r="J97" s="289"/>
      <c r="K97" s="289"/>
    </row>
    <row r="98" spans="2:12" s="198" customFormat="1" ht="16.5" customHeight="1" x14ac:dyDescent="0.2">
      <c r="B98" s="241"/>
      <c r="C98" s="242"/>
      <c r="D98" s="242"/>
      <c r="E98" s="242"/>
      <c r="F98" s="242"/>
      <c r="G98" s="242"/>
      <c r="H98" s="242"/>
      <c r="I98" s="242"/>
      <c r="J98" s="242"/>
      <c r="K98" s="242"/>
    </row>
    <row r="99" spans="2:12" s="198" customFormat="1" ht="16.5" customHeight="1" x14ac:dyDescent="0.2">
      <c r="B99" s="241"/>
      <c r="C99" s="242"/>
      <c r="D99" s="242"/>
      <c r="E99" s="242"/>
      <c r="F99" s="242"/>
      <c r="G99" s="242"/>
      <c r="H99" s="242"/>
      <c r="I99" s="242"/>
      <c r="J99" s="242"/>
      <c r="K99" s="242"/>
    </row>
    <row r="100" spans="2:12" s="123" customFormat="1" ht="15.75" thickBot="1" x14ac:dyDescent="0.25">
      <c r="B100" s="22" t="s">
        <v>208</v>
      </c>
      <c r="C100" s="22"/>
      <c r="D100" s="22"/>
      <c r="E100" s="22"/>
      <c r="F100" s="23"/>
      <c r="G100" s="23"/>
      <c r="H100" s="24"/>
      <c r="I100" s="24"/>
      <c r="J100" s="24">
        <v>580</v>
      </c>
      <c r="K100" s="108" t="s">
        <v>27</v>
      </c>
      <c r="L100" s="123">
        <f>200+150+180+50</f>
        <v>580</v>
      </c>
    </row>
    <row r="101" spans="2:12" s="123" customFormat="1" ht="198.75" customHeight="1" thickTop="1" x14ac:dyDescent="0.2">
      <c r="B101" s="265" t="s">
        <v>694</v>
      </c>
      <c r="C101" s="266"/>
      <c r="D101" s="266"/>
      <c r="E101" s="266"/>
      <c r="F101" s="266"/>
      <c r="G101" s="266"/>
      <c r="H101" s="266"/>
      <c r="I101" s="266"/>
      <c r="J101" s="266"/>
      <c r="K101" s="266"/>
    </row>
    <row r="102" spans="2:12" s="123" customFormat="1" ht="143.25" customHeight="1" x14ac:dyDescent="0.2">
      <c r="B102" s="275" t="s">
        <v>695</v>
      </c>
      <c r="C102" s="291"/>
      <c r="D102" s="291"/>
      <c r="E102" s="291"/>
      <c r="F102" s="291"/>
      <c r="G102" s="291"/>
      <c r="H102" s="291"/>
      <c r="I102" s="291"/>
      <c r="J102" s="291"/>
      <c r="K102" s="291"/>
    </row>
    <row r="103" spans="2:12" s="198" customFormat="1" ht="15.75" thickBot="1" x14ac:dyDescent="0.25">
      <c r="B103" s="159" t="s">
        <v>209</v>
      </c>
      <c r="C103" s="159"/>
      <c r="D103" s="159"/>
      <c r="E103" s="159"/>
      <c r="F103" s="160"/>
      <c r="G103" s="160"/>
      <c r="H103" s="161"/>
      <c r="I103" s="161"/>
      <c r="J103" s="161">
        <v>50</v>
      </c>
      <c r="K103" s="175" t="s">
        <v>27</v>
      </c>
    </row>
    <row r="104" spans="2:12" s="198" customFormat="1" ht="63.75" customHeight="1" thickTop="1" x14ac:dyDescent="0.2">
      <c r="B104" s="288" t="s">
        <v>603</v>
      </c>
      <c r="C104" s="289"/>
      <c r="D104" s="289"/>
      <c r="E104" s="289"/>
      <c r="F104" s="289"/>
      <c r="G104" s="289"/>
      <c r="H104" s="289"/>
      <c r="I104" s="289"/>
      <c r="J104" s="289"/>
      <c r="K104" s="289"/>
    </row>
    <row r="105" spans="2:12" s="198" customFormat="1" ht="15.75" thickBot="1" x14ac:dyDescent="0.25">
      <c r="B105" s="159" t="s">
        <v>210</v>
      </c>
      <c r="C105" s="159"/>
      <c r="D105" s="159"/>
      <c r="E105" s="159"/>
      <c r="F105" s="160"/>
      <c r="G105" s="160"/>
      <c r="H105" s="161"/>
      <c r="I105" s="161"/>
      <c r="J105" s="161">
        <v>200</v>
      </c>
      <c r="K105" s="175" t="s">
        <v>27</v>
      </c>
    </row>
    <row r="106" spans="2:12" s="198" customFormat="1" ht="92.25" customHeight="1" thickTop="1" x14ac:dyDescent="0.2">
      <c r="B106" s="288" t="s">
        <v>604</v>
      </c>
      <c r="C106" s="289"/>
      <c r="D106" s="289"/>
      <c r="E106" s="289"/>
      <c r="F106" s="289"/>
      <c r="G106" s="289"/>
      <c r="H106" s="289"/>
      <c r="I106" s="289"/>
      <c r="J106" s="289"/>
      <c r="K106" s="289"/>
    </row>
    <row r="107" spans="2:12" s="198" customFormat="1" ht="15.75" thickBot="1" x14ac:dyDescent="0.25">
      <c r="B107" s="159" t="s">
        <v>212</v>
      </c>
      <c r="C107" s="159"/>
      <c r="D107" s="159"/>
      <c r="E107" s="159"/>
      <c r="F107" s="160"/>
      <c r="G107" s="160"/>
      <c r="H107" s="161"/>
      <c r="I107" s="161"/>
      <c r="J107" s="161">
        <v>7200</v>
      </c>
      <c r="K107" s="175" t="s">
        <v>27</v>
      </c>
    </row>
    <row r="108" spans="2:12" s="198" customFormat="1" ht="232.5" customHeight="1" thickTop="1" x14ac:dyDescent="0.2">
      <c r="B108" s="288" t="s">
        <v>693</v>
      </c>
      <c r="C108" s="289"/>
      <c r="D108" s="289"/>
      <c r="E108" s="289"/>
      <c r="F108" s="289"/>
      <c r="G108" s="289"/>
      <c r="H108" s="289"/>
      <c r="I108" s="289"/>
      <c r="J108" s="289"/>
      <c r="K108" s="289"/>
    </row>
    <row r="109" spans="2:12" s="198" customFormat="1" ht="16.5" customHeight="1" x14ac:dyDescent="0.2">
      <c r="B109" s="236"/>
      <c r="C109" s="237"/>
      <c r="D109" s="237"/>
      <c r="E109" s="237"/>
      <c r="F109" s="237"/>
      <c r="G109" s="237"/>
      <c r="H109" s="237"/>
      <c r="I109" s="237"/>
      <c r="J109" s="237"/>
      <c r="K109" s="237"/>
    </row>
    <row r="110" spans="2:12" s="198" customFormat="1" ht="15.75" thickBot="1" x14ac:dyDescent="0.25">
      <c r="B110" s="159" t="s">
        <v>202</v>
      </c>
      <c r="C110" s="159"/>
      <c r="D110" s="159"/>
      <c r="E110" s="159"/>
      <c r="F110" s="160"/>
      <c r="G110" s="160"/>
      <c r="H110" s="161"/>
      <c r="I110" s="161"/>
      <c r="J110" s="161">
        <v>3250</v>
      </c>
      <c r="K110" s="175" t="s">
        <v>27</v>
      </c>
    </row>
    <row r="111" spans="2:12" s="198" customFormat="1" ht="109.5" customHeight="1" thickTop="1" x14ac:dyDescent="0.2">
      <c r="B111" s="288" t="s">
        <v>696</v>
      </c>
      <c r="C111" s="293"/>
      <c r="D111" s="293"/>
      <c r="E111" s="293"/>
      <c r="F111" s="293"/>
      <c r="G111" s="293"/>
      <c r="H111" s="293"/>
      <c r="I111" s="293"/>
      <c r="J111" s="293"/>
      <c r="K111" s="293"/>
    </row>
    <row r="112" spans="2:12" s="198" customFormat="1" ht="16.5" customHeight="1" x14ac:dyDescent="0.2">
      <c r="B112" s="216"/>
      <c r="C112" s="217"/>
      <c r="D112" s="217"/>
      <c r="E112" s="217"/>
      <c r="F112" s="217"/>
      <c r="G112" s="217"/>
      <c r="H112" s="217"/>
      <c r="I112" s="217"/>
      <c r="J112" s="217"/>
      <c r="K112" s="217"/>
    </row>
    <row r="113" spans="2:11" s="198" customFormat="1" ht="276.75" customHeight="1" x14ac:dyDescent="0.2">
      <c r="B113" s="290" t="s">
        <v>685</v>
      </c>
      <c r="C113" s="292"/>
      <c r="D113" s="292"/>
      <c r="E113" s="292"/>
      <c r="F113" s="292"/>
      <c r="G113" s="292"/>
      <c r="H113" s="292"/>
      <c r="I113" s="292"/>
      <c r="J113" s="292"/>
      <c r="K113" s="292"/>
    </row>
    <row r="114" spans="2:11" s="198" customFormat="1" ht="15.75" thickBot="1" x14ac:dyDescent="0.25">
      <c r="B114" s="159" t="s">
        <v>203</v>
      </c>
      <c r="C114" s="159"/>
      <c r="D114" s="159"/>
      <c r="E114" s="159"/>
      <c r="F114" s="160"/>
      <c r="G114" s="160"/>
      <c r="H114" s="161"/>
      <c r="I114" s="161"/>
      <c r="J114" s="161">
        <v>700</v>
      </c>
      <c r="K114" s="175" t="s">
        <v>27</v>
      </c>
    </row>
    <row r="115" spans="2:11" s="198" customFormat="1" ht="81.75" customHeight="1" thickTop="1" x14ac:dyDescent="0.2">
      <c r="B115" s="288" t="s">
        <v>613</v>
      </c>
      <c r="C115" s="289"/>
      <c r="D115" s="289"/>
      <c r="E115" s="289"/>
      <c r="F115" s="289"/>
      <c r="G115" s="289"/>
      <c r="H115" s="289"/>
      <c r="I115" s="289"/>
      <c r="J115" s="289"/>
      <c r="K115" s="289"/>
    </row>
    <row r="116" spans="2:11" s="198" customFormat="1" ht="15.75" thickBot="1" x14ac:dyDescent="0.25">
      <c r="B116" s="159" t="s">
        <v>204</v>
      </c>
      <c r="C116" s="159"/>
      <c r="D116" s="159"/>
      <c r="E116" s="159"/>
      <c r="F116" s="160"/>
      <c r="G116" s="160"/>
      <c r="H116" s="161"/>
      <c r="I116" s="161"/>
      <c r="J116" s="161">
        <v>250</v>
      </c>
      <c r="K116" s="175" t="s">
        <v>27</v>
      </c>
    </row>
    <row r="117" spans="2:11" s="198" customFormat="1" ht="57.75" customHeight="1" thickTop="1" x14ac:dyDescent="0.2">
      <c r="B117" s="288" t="s">
        <v>605</v>
      </c>
      <c r="C117" s="289"/>
      <c r="D117" s="289"/>
      <c r="E117" s="289"/>
      <c r="F117" s="289"/>
      <c r="G117" s="289"/>
      <c r="H117" s="289"/>
      <c r="I117" s="289"/>
      <c r="J117" s="289"/>
      <c r="K117" s="289"/>
    </row>
    <row r="118" spans="2:11" s="198" customFormat="1" ht="15.75" thickBot="1" x14ac:dyDescent="0.25">
      <c r="B118" s="159" t="s">
        <v>47</v>
      </c>
      <c r="C118" s="159"/>
      <c r="D118" s="159"/>
      <c r="E118" s="159"/>
      <c r="F118" s="160"/>
      <c r="G118" s="160"/>
      <c r="H118" s="161"/>
      <c r="I118" s="161"/>
      <c r="J118" s="161">
        <v>55</v>
      </c>
      <c r="K118" s="175" t="s">
        <v>27</v>
      </c>
    </row>
    <row r="119" spans="2:11" s="198" customFormat="1" ht="99" customHeight="1" thickTop="1" x14ac:dyDescent="0.2">
      <c r="B119" s="288" t="s">
        <v>640</v>
      </c>
      <c r="C119" s="289"/>
      <c r="D119" s="289"/>
      <c r="E119" s="289"/>
      <c r="F119" s="289"/>
      <c r="G119" s="289"/>
      <c r="H119" s="289"/>
      <c r="I119" s="289"/>
      <c r="J119" s="289"/>
      <c r="K119" s="289"/>
    </row>
    <row r="120" spans="2:11" s="198" customFormat="1" ht="15.75" thickBot="1" x14ac:dyDescent="0.25">
      <c r="B120" s="159" t="s">
        <v>47</v>
      </c>
      <c r="C120" s="159"/>
      <c r="D120" s="159"/>
      <c r="E120" s="159"/>
      <c r="F120" s="160"/>
      <c r="G120" s="160"/>
      <c r="H120" s="161"/>
      <c r="I120" s="161"/>
      <c r="J120" s="161">
        <v>30</v>
      </c>
      <c r="K120" s="175" t="s">
        <v>27</v>
      </c>
    </row>
    <row r="121" spans="2:11" s="198" customFormat="1" ht="73.5" customHeight="1" thickTop="1" x14ac:dyDescent="0.2">
      <c r="B121" s="288" t="s">
        <v>606</v>
      </c>
      <c r="C121" s="289"/>
      <c r="D121" s="289"/>
      <c r="E121" s="289"/>
      <c r="F121" s="289"/>
      <c r="G121" s="289"/>
      <c r="H121" s="289"/>
      <c r="I121" s="289"/>
      <c r="J121" s="289"/>
      <c r="K121" s="289"/>
    </row>
    <row r="122" spans="2:11" s="198" customFormat="1" ht="15.75" thickBot="1" x14ac:dyDescent="0.25">
      <c r="B122" s="159" t="s">
        <v>205</v>
      </c>
      <c r="C122" s="159"/>
      <c r="D122" s="159"/>
      <c r="E122" s="159"/>
      <c r="F122" s="160"/>
      <c r="G122" s="160"/>
      <c r="H122" s="161"/>
      <c r="I122" s="161"/>
      <c r="J122" s="161">
        <v>70</v>
      </c>
      <c r="K122" s="175" t="s">
        <v>27</v>
      </c>
    </row>
    <row r="123" spans="2:11" s="198" customFormat="1" ht="59.25" customHeight="1" thickTop="1" x14ac:dyDescent="0.2">
      <c r="B123" s="288" t="s">
        <v>614</v>
      </c>
      <c r="C123" s="289"/>
      <c r="D123" s="289"/>
      <c r="E123" s="289"/>
      <c r="F123" s="289"/>
      <c r="G123" s="289"/>
      <c r="H123" s="289"/>
      <c r="I123" s="289"/>
      <c r="J123" s="289"/>
      <c r="K123" s="289"/>
    </row>
    <row r="124" spans="2:11" s="198" customFormat="1" ht="15.75" thickBot="1" x14ac:dyDescent="0.25">
      <c r="B124" s="159" t="s">
        <v>205</v>
      </c>
      <c r="C124" s="159"/>
      <c r="D124" s="159"/>
      <c r="E124" s="159"/>
      <c r="F124" s="160"/>
      <c r="G124" s="160"/>
      <c r="H124" s="161"/>
      <c r="I124" s="161"/>
      <c r="J124" s="161">
        <v>280</v>
      </c>
      <c r="K124" s="175" t="s">
        <v>27</v>
      </c>
    </row>
    <row r="125" spans="2:11" s="198" customFormat="1" ht="69.75" customHeight="1" thickTop="1" x14ac:dyDescent="0.2">
      <c r="B125" s="288" t="s">
        <v>615</v>
      </c>
      <c r="C125" s="289"/>
      <c r="D125" s="289"/>
      <c r="E125" s="289"/>
      <c r="F125" s="289"/>
      <c r="G125" s="289"/>
      <c r="H125" s="289"/>
      <c r="I125" s="289"/>
      <c r="J125" s="289"/>
      <c r="K125" s="289"/>
    </row>
    <row r="126" spans="2:11" s="198" customFormat="1" ht="15.75" thickBot="1" x14ac:dyDescent="0.25">
      <c r="B126" s="159" t="s">
        <v>206</v>
      </c>
      <c r="C126" s="159"/>
      <c r="D126" s="159"/>
      <c r="E126" s="159"/>
      <c r="F126" s="160"/>
      <c r="G126" s="160"/>
      <c r="H126" s="161"/>
      <c r="I126" s="161"/>
      <c r="J126" s="161">
        <v>25</v>
      </c>
      <c r="K126" s="175" t="s">
        <v>27</v>
      </c>
    </row>
    <row r="127" spans="2:11" s="198" customFormat="1" ht="69" customHeight="1" thickTop="1" x14ac:dyDescent="0.2">
      <c r="B127" s="288" t="s">
        <v>607</v>
      </c>
      <c r="C127" s="289"/>
      <c r="D127" s="289"/>
      <c r="E127" s="289"/>
      <c r="F127" s="289"/>
      <c r="G127" s="289"/>
      <c r="H127" s="289"/>
      <c r="I127" s="289"/>
      <c r="J127" s="289"/>
      <c r="K127" s="289"/>
    </row>
    <row r="128" spans="2:11" s="198" customFormat="1" ht="15.75" thickBot="1" x14ac:dyDescent="0.25">
      <c r="B128" s="159" t="s">
        <v>207</v>
      </c>
      <c r="C128" s="159"/>
      <c r="D128" s="159"/>
      <c r="E128" s="159"/>
      <c r="F128" s="160"/>
      <c r="G128" s="160"/>
      <c r="H128" s="161"/>
      <c r="I128" s="161"/>
      <c r="J128" s="161">
        <v>2100</v>
      </c>
      <c r="K128" s="175" t="s">
        <v>27</v>
      </c>
    </row>
    <row r="129" spans="2:11" s="198" customFormat="1" ht="65.25" customHeight="1" thickTop="1" x14ac:dyDescent="0.2">
      <c r="B129" s="288" t="s">
        <v>686</v>
      </c>
      <c r="C129" s="297"/>
      <c r="D129" s="297"/>
      <c r="E129" s="297"/>
      <c r="F129" s="297"/>
      <c r="G129" s="297"/>
      <c r="H129" s="297"/>
      <c r="I129" s="297"/>
      <c r="J129" s="297"/>
      <c r="K129" s="297"/>
    </row>
    <row r="130" spans="2:11" s="198" customFormat="1" ht="369" customHeight="1" x14ac:dyDescent="0.2">
      <c r="B130" s="290" t="s">
        <v>687</v>
      </c>
      <c r="C130" s="280"/>
      <c r="D130" s="280"/>
      <c r="E130" s="280"/>
      <c r="F130" s="280"/>
      <c r="G130" s="280"/>
      <c r="H130" s="280"/>
      <c r="I130" s="280"/>
      <c r="J130" s="280"/>
      <c r="K130" s="280"/>
    </row>
    <row r="131" spans="2:11" s="198" customFormat="1" ht="15.75" thickBot="1" x14ac:dyDescent="0.25">
      <c r="B131" s="159" t="s">
        <v>207</v>
      </c>
      <c r="C131" s="159"/>
      <c r="D131" s="159"/>
      <c r="E131" s="159"/>
      <c r="F131" s="160"/>
      <c r="G131" s="160"/>
      <c r="H131" s="161"/>
      <c r="I131" s="161"/>
      <c r="J131" s="161">
        <v>3000</v>
      </c>
      <c r="K131" s="175" t="s">
        <v>27</v>
      </c>
    </row>
    <row r="132" spans="2:11" s="198" customFormat="1" ht="69.75" customHeight="1" thickTop="1" x14ac:dyDescent="0.2">
      <c r="B132" s="284" t="s">
        <v>683</v>
      </c>
      <c r="C132" s="285"/>
      <c r="D132" s="285"/>
      <c r="E132" s="285"/>
      <c r="F132" s="285"/>
      <c r="G132" s="285"/>
      <c r="H132" s="285"/>
      <c r="I132" s="285"/>
      <c r="J132" s="285"/>
      <c r="K132" s="285"/>
    </row>
    <row r="133" spans="2:11" s="123" customFormat="1" ht="15.75" thickBot="1" x14ac:dyDescent="0.25">
      <c r="B133" s="22" t="s">
        <v>208</v>
      </c>
      <c r="C133" s="22"/>
      <c r="D133" s="22"/>
      <c r="E133" s="22"/>
      <c r="F133" s="23"/>
      <c r="G133" s="23"/>
      <c r="H133" s="24"/>
      <c r="I133" s="24"/>
      <c r="J133" s="24">
        <v>970</v>
      </c>
      <c r="K133" s="108" t="s">
        <v>27</v>
      </c>
    </row>
    <row r="134" spans="2:11" s="123" customFormat="1" ht="90" customHeight="1" thickTop="1" x14ac:dyDescent="0.2">
      <c r="B134" s="269" t="s">
        <v>608</v>
      </c>
      <c r="C134" s="270"/>
      <c r="D134" s="270"/>
      <c r="E134" s="270"/>
      <c r="F134" s="270"/>
      <c r="G134" s="270"/>
      <c r="H134" s="270"/>
      <c r="I134" s="270"/>
      <c r="J134" s="270"/>
      <c r="K134" s="270"/>
    </row>
    <row r="135" spans="2:11" s="123" customFormat="1" ht="129.75" customHeight="1" x14ac:dyDescent="0.2">
      <c r="B135" s="275" t="s">
        <v>609</v>
      </c>
      <c r="C135" s="291"/>
      <c r="D135" s="291"/>
      <c r="E135" s="291"/>
      <c r="F135" s="291"/>
      <c r="G135" s="291"/>
      <c r="H135" s="291"/>
      <c r="I135" s="291"/>
      <c r="J135" s="291"/>
      <c r="K135" s="291"/>
    </row>
    <row r="136" spans="2:11" s="198" customFormat="1" ht="15.75" thickBot="1" x14ac:dyDescent="0.25">
      <c r="B136" s="159" t="s">
        <v>208</v>
      </c>
      <c r="C136" s="159"/>
      <c r="D136" s="159"/>
      <c r="E136" s="159"/>
      <c r="F136" s="160"/>
      <c r="G136" s="160"/>
      <c r="H136" s="161"/>
      <c r="I136" s="161"/>
      <c r="J136" s="161">
        <v>60</v>
      </c>
      <c r="K136" s="175" t="s">
        <v>27</v>
      </c>
    </row>
    <row r="137" spans="2:11" s="198" customFormat="1" ht="71.099999999999994" customHeight="1" thickTop="1" x14ac:dyDescent="0.2">
      <c r="B137" s="288" t="s">
        <v>610</v>
      </c>
      <c r="C137" s="289"/>
      <c r="D137" s="289"/>
      <c r="E137" s="289"/>
      <c r="F137" s="289"/>
      <c r="G137" s="289"/>
      <c r="H137" s="289"/>
      <c r="I137" s="289"/>
      <c r="J137" s="289"/>
      <c r="K137" s="289"/>
    </row>
    <row r="138" spans="2:11" s="198" customFormat="1" ht="15.75" thickBot="1" x14ac:dyDescent="0.25">
      <c r="B138" s="159" t="s">
        <v>211</v>
      </c>
      <c r="C138" s="159"/>
      <c r="D138" s="159"/>
      <c r="E138" s="159"/>
      <c r="F138" s="160"/>
      <c r="G138" s="160"/>
      <c r="H138" s="161"/>
      <c r="I138" s="161"/>
      <c r="J138" s="161">
        <v>50</v>
      </c>
      <c r="K138" s="175" t="s">
        <v>27</v>
      </c>
    </row>
    <row r="139" spans="2:11" s="198" customFormat="1" ht="56.25" customHeight="1" thickTop="1" x14ac:dyDescent="0.2">
      <c r="B139" s="288" t="s">
        <v>495</v>
      </c>
      <c r="C139" s="289"/>
      <c r="D139" s="289"/>
      <c r="E139" s="289"/>
      <c r="F139" s="289"/>
      <c r="G139" s="289"/>
      <c r="H139" s="289"/>
      <c r="I139" s="289"/>
      <c r="J139" s="289"/>
      <c r="K139" s="289"/>
    </row>
    <row r="140" spans="2:11" s="198" customFormat="1" ht="15.75" thickBot="1" x14ac:dyDescent="0.25">
      <c r="B140" s="159" t="s">
        <v>212</v>
      </c>
      <c r="C140" s="159"/>
      <c r="D140" s="159"/>
      <c r="E140" s="159"/>
      <c r="F140" s="160"/>
      <c r="G140" s="160"/>
      <c r="H140" s="161"/>
      <c r="I140" s="161"/>
      <c r="J140" s="161">
        <v>2500</v>
      </c>
      <c r="K140" s="175" t="s">
        <v>27</v>
      </c>
    </row>
    <row r="141" spans="2:11" s="198" customFormat="1" ht="99.75" customHeight="1" thickTop="1" x14ac:dyDescent="0.2">
      <c r="B141" s="288" t="s">
        <v>684</v>
      </c>
      <c r="C141" s="289"/>
      <c r="D141" s="289"/>
      <c r="E141" s="289"/>
      <c r="F141" s="289"/>
      <c r="G141" s="289"/>
      <c r="H141" s="289"/>
      <c r="I141" s="289"/>
      <c r="J141" s="289"/>
      <c r="K141" s="289"/>
    </row>
    <row r="142" spans="2:11" s="198" customFormat="1" ht="15.75" thickBot="1" x14ac:dyDescent="0.25">
      <c r="B142" s="159" t="s">
        <v>213</v>
      </c>
      <c r="C142" s="159"/>
      <c r="D142" s="159"/>
      <c r="E142" s="159"/>
      <c r="F142" s="160"/>
      <c r="G142" s="160"/>
      <c r="H142" s="161"/>
      <c r="I142" s="161"/>
      <c r="J142" s="161">
        <v>500</v>
      </c>
      <c r="K142" s="175" t="s">
        <v>27</v>
      </c>
    </row>
    <row r="143" spans="2:11" s="198" customFormat="1" ht="83.25" customHeight="1" thickTop="1" x14ac:dyDescent="0.2">
      <c r="B143" s="288" t="s">
        <v>611</v>
      </c>
      <c r="C143" s="289"/>
      <c r="D143" s="289"/>
      <c r="E143" s="289"/>
      <c r="F143" s="289"/>
      <c r="G143" s="289"/>
      <c r="H143" s="289"/>
      <c r="I143" s="289"/>
      <c r="J143" s="289"/>
      <c r="K143" s="289"/>
    </row>
    <row r="144" spans="2:11" s="123" customFormat="1" ht="16.5" customHeight="1" x14ac:dyDescent="0.2">
      <c r="B144" s="273" t="s">
        <v>554</v>
      </c>
      <c r="C144" s="274"/>
      <c r="D144" s="274"/>
      <c r="E144" s="274"/>
      <c r="F144" s="274"/>
      <c r="G144" s="274"/>
      <c r="H144" s="274"/>
      <c r="I144" s="187"/>
      <c r="J144" s="187"/>
      <c r="K144" s="207"/>
    </row>
    <row r="145" spans="2:11" s="198" customFormat="1" ht="15.75" thickBot="1" x14ac:dyDescent="0.25">
      <c r="B145" s="159" t="s">
        <v>213</v>
      </c>
      <c r="C145" s="159"/>
      <c r="D145" s="159"/>
      <c r="E145" s="159"/>
      <c r="F145" s="160"/>
      <c r="G145" s="160"/>
      <c r="H145" s="161"/>
      <c r="I145" s="161"/>
      <c r="J145" s="161">
        <v>60000</v>
      </c>
      <c r="K145" s="175" t="s">
        <v>27</v>
      </c>
    </row>
    <row r="146" spans="2:11" s="198" customFormat="1" ht="64.5" customHeight="1" thickTop="1" x14ac:dyDescent="0.2">
      <c r="B146" s="288" t="s">
        <v>648</v>
      </c>
      <c r="C146" s="289"/>
      <c r="D146" s="289"/>
      <c r="E146" s="289"/>
      <c r="F146" s="289"/>
      <c r="G146" s="289"/>
      <c r="H146" s="289"/>
      <c r="I146" s="289"/>
      <c r="J146" s="289"/>
      <c r="K146" s="289"/>
    </row>
    <row r="147" spans="2:11" s="198" customFormat="1" ht="16.5" customHeight="1" x14ac:dyDescent="0.2">
      <c r="B147" s="216"/>
      <c r="C147" s="217"/>
      <c r="D147" s="217"/>
      <c r="E147" s="217"/>
      <c r="F147" s="217"/>
      <c r="G147" s="217"/>
      <c r="H147" s="217"/>
      <c r="I147" s="217"/>
      <c r="J147" s="217"/>
      <c r="K147" s="217"/>
    </row>
    <row r="148" spans="2:11" s="198" customFormat="1" ht="15.75" thickBot="1" x14ac:dyDescent="0.25">
      <c r="B148" s="159" t="s">
        <v>214</v>
      </c>
      <c r="C148" s="159"/>
      <c r="D148" s="159"/>
      <c r="E148" s="159"/>
      <c r="F148" s="160"/>
      <c r="G148" s="160"/>
      <c r="H148" s="161"/>
      <c r="I148" s="161"/>
      <c r="J148" s="161">
        <v>1602</v>
      </c>
      <c r="K148" s="175" t="s">
        <v>27</v>
      </c>
    </row>
    <row r="149" spans="2:11" s="198" customFormat="1" ht="267" customHeight="1" thickTop="1" x14ac:dyDescent="0.2">
      <c r="B149" s="288" t="s">
        <v>665</v>
      </c>
      <c r="C149" s="289"/>
      <c r="D149" s="289"/>
      <c r="E149" s="289"/>
      <c r="F149" s="289"/>
      <c r="G149" s="289"/>
      <c r="H149" s="289"/>
      <c r="I149" s="289"/>
      <c r="J149" s="289"/>
      <c r="K149" s="289"/>
    </row>
    <row r="150" spans="2:11" s="198" customFormat="1" ht="15.75" thickBot="1" x14ac:dyDescent="0.25">
      <c r="B150" s="159" t="s">
        <v>215</v>
      </c>
      <c r="C150" s="159"/>
      <c r="D150" s="159"/>
      <c r="E150" s="159"/>
      <c r="F150" s="160"/>
      <c r="G150" s="160"/>
      <c r="H150" s="161"/>
      <c r="I150" s="161"/>
      <c r="J150" s="161">
        <v>1371</v>
      </c>
      <c r="K150" s="175" t="s">
        <v>27</v>
      </c>
    </row>
    <row r="151" spans="2:11" s="198" customFormat="1" ht="106.5" customHeight="1" thickTop="1" x14ac:dyDescent="0.2">
      <c r="B151" s="288" t="s">
        <v>493</v>
      </c>
      <c r="C151" s="289"/>
      <c r="D151" s="289"/>
      <c r="E151" s="289"/>
      <c r="F151" s="289"/>
      <c r="G151" s="289"/>
      <c r="H151" s="289"/>
      <c r="I151" s="289"/>
      <c r="J151" s="289"/>
      <c r="K151" s="289"/>
    </row>
    <row r="152" spans="2:11" s="198" customFormat="1" ht="15.75" thickBot="1" x14ac:dyDescent="0.25">
      <c r="B152" s="159" t="s">
        <v>215</v>
      </c>
      <c r="C152" s="159"/>
      <c r="D152" s="159"/>
      <c r="E152" s="159"/>
      <c r="F152" s="160"/>
      <c r="G152" s="160"/>
      <c r="H152" s="161"/>
      <c r="I152" s="161"/>
      <c r="J152" s="161">
        <v>256</v>
      </c>
      <c r="K152" s="175" t="s">
        <v>27</v>
      </c>
    </row>
    <row r="153" spans="2:11" s="198" customFormat="1" ht="86.25" customHeight="1" thickTop="1" x14ac:dyDescent="0.2">
      <c r="B153" s="288" t="s">
        <v>494</v>
      </c>
      <c r="C153" s="289"/>
      <c r="D153" s="289"/>
      <c r="E153" s="289"/>
      <c r="F153" s="289"/>
      <c r="G153" s="289"/>
      <c r="H153" s="289"/>
      <c r="I153" s="289"/>
      <c r="J153" s="289"/>
      <c r="K153" s="289"/>
    </row>
    <row r="154" spans="2:11" s="198" customFormat="1" ht="15.75" thickBot="1" x14ac:dyDescent="0.25">
      <c r="B154" s="159" t="s">
        <v>216</v>
      </c>
      <c r="C154" s="159"/>
      <c r="D154" s="159"/>
      <c r="E154" s="159"/>
      <c r="F154" s="160"/>
      <c r="G154" s="160"/>
      <c r="H154" s="161"/>
      <c r="I154" s="161"/>
      <c r="J154" s="161">
        <v>166</v>
      </c>
      <c r="K154" s="175" t="s">
        <v>27</v>
      </c>
    </row>
    <row r="155" spans="2:11" s="198" customFormat="1" ht="83.25" customHeight="1" thickTop="1" x14ac:dyDescent="0.2">
      <c r="B155" s="288" t="s">
        <v>612</v>
      </c>
      <c r="C155" s="289"/>
      <c r="D155" s="289"/>
      <c r="E155" s="289"/>
      <c r="F155" s="289"/>
      <c r="G155" s="289"/>
      <c r="H155" s="289"/>
      <c r="I155" s="289"/>
      <c r="J155" s="289"/>
      <c r="K155" s="289"/>
    </row>
    <row r="156" spans="2:11" s="198" customFormat="1" ht="69.75" customHeight="1" x14ac:dyDescent="0.2">
      <c r="B156" s="199"/>
      <c r="C156" s="200"/>
      <c r="D156" s="200"/>
      <c r="E156" s="200"/>
      <c r="F156" s="200"/>
      <c r="G156" s="200"/>
      <c r="H156" s="200"/>
      <c r="I156" s="200"/>
      <c r="J156" s="200"/>
      <c r="K156" s="208"/>
    </row>
    <row r="157" spans="2:11" s="198" customFormat="1" ht="69.75" customHeight="1" x14ac:dyDescent="0.2">
      <c r="B157" s="199"/>
      <c r="C157" s="200"/>
      <c r="D157" s="200"/>
      <c r="E157" s="200"/>
      <c r="F157" s="200"/>
      <c r="G157" s="200"/>
      <c r="H157" s="200"/>
      <c r="I157" s="200"/>
      <c r="J157" s="200"/>
      <c r="K157" s="208"/>
    </row>
    <row r="158" spans="2:11" s="198" customFormat="1" ht="69.75" customHeight="1" x14ac:dyDescent="0.2">
      <c r="B158" s="199"/>
      <c r="C158" s="200"/>
      <c r="D158" s="200"/>
      <c r="E158" s="200"/>
      <c r="F158" s="200"/>
      <c r="G158" s="200"/>
      <c r="H158" s="200"/>
      <c r="I158" s="200"/>
      <c r="J158" s="200"/>
      <c r="K158" s="208"/>
    </row>
    <row r="159" spans="2:11" s="198" customFormat="1" ht="45.75" customHeight="1" x14ac:dyDescent="0.2">
      <c r="B159" s="199"/>
      <c r="C159" s="200"/>
      <c r="D159" s="200"/>
      <c r="E159" s="200"/>
      <c r="F159" s="200"/>
      <c r="G159" s="200"/>
      <c r="H159" s="200"/>
      <c r="I159" s="200"/>
      <c r="J159" s="200"/>
      <c r="K159" s="208"/>
    </row>
    <row r="160" spans="2:11" s="198" customFormat="1" ht="14.25" x14ac:dyDescent="0.2">
      <c r="K160" s="203"/>
    </row>
    <row r="161" spans="11:11" s="198" customFormat="1" ht="14.25" x14ac:dyDescent="0.2">
      <c r="K161" s="203"/>
    </row>
    <row r="162" spans="11:11" s="198" customFormat="1" ht="14.25" x14ac:dyDescent="0.2">
      <c r="K162" s="203"/>
    </row>
    <row r="163" spans="11:11" s="198" customFormat="1" ht="14.25" x14ac:dyDescent="0.2">
      <c r="K163" s="203"/>
    </row>
    <row r="164" spans="11:11" s="198" customFormat="1" ht="14.25" x14ac:dyDescent="0.2">
      <c r="K164" s="203"/>
    </row>
    <row r="165" spans="11:11" s="198" customFormat="1" ht="14.25" x14ac:dyDescent="0.2">
      <c r="K165" s="203"/>
    </row>
    <row r="166" spans="11:11" s="198" customFormat="1" ht="14.25" x14ac:dyDescent="0.2">
      <c r="K166" s="203"/>
    </row>
    <row r="167" spans="11:11" s="198" customFormat="1" ht="14.25" x14ac:dyDescent="0.2">
      <c r="K167" s="203"/>
    </row>
    <row r="168" spans="11:11" s="198" customFormat="1" ht="14.25" x14ac:dyDescent="0.2">
      <c r="K168" s="203"/>
    </row>
    <row r="169" spans="11:11" s="162" customFormat="1" x14ac:dyDescent="0.2">
      <c r="K169" s="209"/>
    </row>
    <row r="170" spans="11:11" s="162" customFormat="1" x14ac:dyDescent="0.2">
      <c r="K170" s="209"/>
    </row>
    <row r="171" spans="11:11" s="162" customFormat="1" x14ac:dyDescent="0.2">
      <c r="K171" s="209"/>
    </row>
    <row r="172" spans="11:11" s="162" customFormat="1" x14ac:dyDescent="0.2">
      <c r="K172" s="209"/>
    </row>
  </sheetData>
  <mergeCells count="39">
    <mergeCell ref="B155:K155"/>
    <mergeCell ref="B139:K139"/>
    <mergeCell ref="B141:K141"/>
    <mergeCell ref="B125:K125"/>
    <mergeCell ref="B134:K134"/>
    <mergeCell ref="B137:K137"/>
    <mergeCell ref="B135:K135"/>
    <mergeCell ref="B153:K153"/>
    <mergeCell ref="B143:K143"/>
    <mergeCell ref="B146:K146"/>
    <mergeCell ref="B149:K149"/>
    <mergeCell ref="B129:K129"/>
    <mergeCell ref="B151:K151"/>
    <mergeCell ref="B144:H144"/>
    <mergeCell ref="B132:K132"/>
    <mergeCell ref="B127:K127"/>
    <mergeCell ref="B2:F2"/>
    <mergeCell ref="B88:K88"/>
    <mergeCell ref="B90:K90"/>
    <mergeCell ref="B92:K92"/>
    <mergeCell ref="B95:K95"/>
    <mergeCell ref="F40:J40"/>
    <mergeCell ref="F13:J13"/>
    <mergeCell ref="F66:K66"/>
    <mergeCell ref="B93:H93"/>
    <mergeCell ref="B101:K101"/>
    <mergeCell ref="B123:K123"/>
    <mergeCell ref="B97:K97"/>
    <mergeCell ref="B130:K130"/>
    <mergeCell ref="B121:K121"/>
    <mergeCell ref="B102:K102"/>
    <mergeCell ref="B104:K104"/>
    <mergeCell ref="B113:K113"/>
    <mergeCell ref="B115:K115"/>
    <mergeCell ref="B117:K117"/>
    <mergeCell ref="B106:K106"/>
    <mergeCell ref="B108:K108"/>
    <mergeCell ref="B111:K111"/>
    <mergeCell ref="B119:K119"/>
  </mergeCells>
  <pageMargins left="0.70866141732283472" right="0.70866141732283472" top="0.78740157480314965" bottom="0.78740157480314965" header="0.31496062992125984" footer="0.31496062992125984"/>
  <pageSetup paperSize="9" scale="70" firstPageNumber="45" fitToHeight="9999" orientation="portrait" useFirstPageNumber="1" r:id="rId1"/>
  <headerFooter>
    <oddFooter>&amp;L&amp;"Arial CE,Kurzíva"Zastupitelstvo Olomouckého kraje 16-12-2011
6. - Rozpočet Olomouckého kraje 2012 - návrh rozpočtu 
Příloha č. 3a): Výdaje odborů (kanceláří)&amp;R&amp;"Arial CE,Kurzíva"Strana &amp;P (celkem 167)</oddFooter>
  </headerFooter>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pageSetUpPr fitToPage="1"/>
  </sheetPr>
  <dimension ref="B2:L135"/>
  <sheetViews>
    <sheetView showGridLines="0" view="pageBreakPreview" zoomScaleNormal="100" zoomScaleSheetLayoutView="100" workbookViewId="0">
      <selection activeCell="F137" sqref="F136:F137"/>
    </sheetView>
  </sheetViews>
  <sheetFormatPr defaultRowHeight="12.75" x14ac:dyDescent="0.2"/>
  <cols>
    <col min="1" max="1" width="0.85546875" customWidth="1"/>
    <col min="2" max="3" width="4.7109375" customWidth="1"/>
    <col min="4" max="4" width="9.7109375" customWidth="1"/>
    <col min="5" max="5" width="11.7109375" customWidth="1"/>
    <col min="6" max="6" width="37.7109375" customWidth="1"/>
    <col min="7" max="10" width="10.7109375" customWidth="1"/>
    <col min="11" max="11" width="7.7109375" style="107" customWidth="1"/>
  </cols>
  <sheetData>
    <row r="2" spans="2:11" ht="38.1" customHeight="1" x14ac:dyDescent="0.2">
      <c r="B2" s="267" t="s">
        <v>167</v>
      </c>
      <c r="C2" s="268"/>
      <c r="D2" s="268"/>
      <c r="E2" s="268"/>
      <c r="F2" s="268"/>
      <c r="G2" s="3"/>
      <c r="H2" s="3"/>
      <c r="I2" s="3"/>
      <c r="J2" s="3"/>
      <c r="K2" s="98" t="s">
        <v>168</v>
      </c>
    </row>
    <row r="5" spans="2:11" s="123" customFormat="1" ht="15" x14ac:dyDescent="0.2">
      <c r="B5" s="188" t="s">
        <v>0</v>
      </c>
      <c r="C5" s="188"/>
      <c r="D5" s="188" t="s">
        <v>32</v>
      </c>
      <c r="E5" s="189"/>
      <c r="F5" s="189"/>
      <c r="G5" s="189"/>
      <c r="H5" s="189"/>
      <c r="I5" s="189"/>
      <c r="J5" s="189"/>
      <c r="K5" s="190"/>
    </row>
    <row r="6" spans="2:11" s="123" customFormat="1" ht="15" x14ac:dyDescent="0.2">
      <c r="B6" s="188"/>
      <c r="C6" s="188"/>
      <c r="D6" s="188" t="s">
        <v>33</v>
      </c>
      <c r="E6" s="189"/>
      <c r="F6" s="189"/>
      <c r="G6" s="189"/>
      <c r="H6" s="189"/>
      <c r="I6" s="189"/>
      <c r="J6" s="189"/>
      <c r="K6" s="190"/>
    </row>
    <row r="7" spans="2:11" ht="13.5" thickBot="1" x14ac:dyDescent="0.25">
      <c r="B7" s="5"/>
      <c r="C7" s="5"/>
      <c r="D7" s="5"/>
      <c r="E7" s="5"/>
      <c r="F7" s="5"/>
      <c r="G7" s="5"/>
      <c r="H7" s="5"/>
      <c r="I7" s="5"/>
      <c r="J7" s="5"/>
      <c r="K7" s="99" t="s">
        <v>3</v>
      </c>
    </row>
    <row r="8" spans="2:11" ht="35.1" customHeight="1" x14ac:dyDescent="0.2">
      <c r="B8" s="7" t="s">
        <v>4</v>
      </c>
      <c r="C8" s="8" t="s">
        <v>5</v>
      </c>
      <c r="D8" s="8" t="s">
        <v>6</v>
      </c>
      <c r="E8" s="8" t="s">
        <v>7</v>
      </c>
      <c r="F8" s="6" t="s">
        <v>8</v>
      </c>
      <c r="G8" s="6" t="s">
        <v>9</v>
      </c>
      <c r="H8" s="6" t="s">
        <v>10</v>
      </c>
      <c r="I8" s="6" t="s">
        <v>11</v>
      </c>
      <c r="J8" s="6" t="s">
        <v>12</v>
      </c>
      <c r="K8" s="100" t="s">
        <v>13</v>
      </c>
    </row>
    <row r="9" spans="2:11" ht="13.5" thickBot="1" x14ac:dyDescent="0.25">
      <c r="B9" s="10">
        <v>1</v>
      </c>
      <c r="C9" s="11">
        <v>2</v>
      </c>
      <c r="D9" s="11">
        <v>3</v>
      </c>
      <c r="E9" s="11">
        <v>4</v>
      </c>
      <c r="F9" s="12">
        <v>5</v>
      </c>
      <c r="G9" s="12">
        <v>6</v>
      </c>
      <c r="H9" s="12">
        <v>7</v>
      </c>
      <c r="I9" s="12">
        <v>8</v>
      </c>
      <c r="J9" s="12">
        <v>9</v>
      </c>
      <c r="K9" s="101" t="s">
        <v>14</v>
      </c>
    </row>
    <row r="10" spans="2:11" ht="15" x14ac:dyDescent="0.2">
      <c r="B10" s="88">
        <v>1014</v>
      </c>
      <c r="C10" s="89">
        <v>5321</v>
      </c>
      <c r="D10" s="89">
        <v>0</v>
      </c>
      <c r="E10" s="89">
        <v>30100000000</v>
      </c>
      <c r="F10" s="90" t="s">
        <v>106</v>
      </c>
      <c r="G10" s="91">
        <v>0</v>
      </c>
      <c r="H10" s="91">
        <v>0</v>
      </c>
      <c r="I10" s="91">
        <v>0</v>
      </c>
      <c r="J10" s="91">
        <v>200</v>
      </c>
      <c r="K10" s="113">
        <v>0</v>
      </c>
    </row>
    <row r="11" spans="2:11" ht="15" x14ac:dyDescent="0.2">
      <c r="B11" s="82">
        <v>1019</v>
      </c>
      <c r="C11" s="83">
        <v>5169</v>
      </c>
      <c r="D11" s="83">
        <v>0</v>
      </c>
      <c r="E11" s="83">
        <v>20000000000</v>
      </c>
      <c r="F11" s="84" t="s">
        <v>15</v>
      </c>
      <c r="G11" s="85">
        <v>0</v>
      </c>
      <c r="H11" s="85">
        <v>0</v>
      </c>
      <c r="I11" s="85">
        <v>0</v>
      </c>
      <c r="J11" s="85">
        <v>150</v>
      </c>
      <c r="K11" s="103">
        <v>0</v>
      </c>
    </row>
    <row r="12" spans="2:11" ht="15" x14ac:dyDescent="0.2">
      <c r="B12" s="82">
        <v>1032</v>
      </c>
      <c r="C12" s="83">
        <v>5165</v>
      </c>
      <c r="D12" s="83">
        <v>0</v>
      </c>
      <c r="E12" s="83">
        <v>20000000000</v>
      </c>
      <c r="F12" s="84" t="s">
        <v>169</v>
      </c>
      <c r="G12" s="85">
        <v>2</v>
      </c>
      <c r="H12" s="85">
        <v>2</v>
      </c>
      <c r="I12" s="85">
        <f>120/100</f>
        <v>1.2</v>
      </c>
      <c r="J12" s="85">
        <v>2</v>
      </c>
      <c r="K12" s="103">
        <f>J12/G12*100</f>
        <v>100</v>
      </c>
    </row>
    <row r="13" spans="2:11" ht="15" x14ac:dyDescent="0.2">
      <c r="B13" s="82">
        <v>1036</v>
      </c>
      <c r="C13" s="83">
        <v>5134</v>
      </c>
      <c r="D13" s="83">
        <v>0</v>
      </c>
      <c r="E13" s="83">
        <v>20000000000</v>
      </c>
      <c r="F13" s="84" t="s">
        <v>170</v>
      </c>
      <c r="G13" s="85">
        <v>60</v>
      </c>
      <c r="H13" s="85">
        <v>60</v>
      </c>
      <c r="I13" s="85">
        <f>5291/100</f>
        <v>52.91</v>
      </c>
      <c r="J13" s="85">
        <v>60</v>
      </c>
      <c r="K13" s="103">
        <f>J13/G13*100</f>
        <v>100</v>
      </c>
    </row>
    <row r="14" spans="2:11" ht="15" x14ac:dyDescent="0.2">
      <c r="B14" s="82">
        <v>1036</v>
      </c>
      <c r="C14" s="83">
        <v>5169</v>
      </c>
      <c r="D14" s="83">
        <v>0</v>
      </c>
      <c r="E14" s="83">
        <v>20000000000</v>
      </c>
      <c r="F14" s="84" t="s">
        <v>15</v>
      </c>
      <c r="G14" s="85">
        <v>40</v>
      </c>
      <c r="H14" s="85">
        <v>30</v>
      </c>
      <c r="I14" s="85">
        <v>25</v>
      </c>
      <c r="J14" s="85">
        <v>45</v>
      </c>
      <c r="K14" s="103">
        <f>J14/G14*100</f>
        <v>112.5</v>
      </c>
    </row>
    <row r="15" spans="2:11" ht="15" x14ac:dyDescent="0.2">
      <c r="B15" s="82">
        <v>1037</v>
      </c>
      <c r="C15" s="83">
        <v>5169</v>
      </c>
      <c r="D15" s="83">
        <v>0</v>
      </c>
      <c r="E15" s="83">
        <v>20000000000</v>
      </c>
      <c r="F15" s="84" t="s">
        <v>15</v>
      </c>
      <c r="G15" s="85">
        <v>0</v>
      </c>
      <c r="H15" s="85">
        <v>0</v>
      </c>
      <c r="I15" s="85">
        <v>0</v>
      </c>
      <c r="J15" s="85">
        <v>150</v>
      </c>
      <c r="K15" s="103"/>
    </row>
    <row r="16" spans="2:11" ht="15" x14ac:dyDescent="0.2">
      <c r="B16" s="82"/>
      <c r="C16" s="83"/>
      <c r="D16" s="83"/>
      <c r="E16" s="83"/>
      <c r="F16" s="276" t="s">
        <v>549</v>
      </c>
      <c r="G16" s="277"/>
      <c r="H16" s="277"/>
      <c r="I16" s="278"/>
      <c r="J16" s="279"/>
      <c r="K16" s="103"/>
    </row>
    <row r="17" spans="2:11" ht="25.5" x14ac:dyDescent="0.2">
      <c r="B17" s="82">
        <v>1037</v>
      </c>
      <c r="C17" s="83">
        <v>5212</v>
      </c>
      <c r="D17" s="83">
        <v>550</v>
      </c>
      <c r="E17" s="83">
        <v>30102000000</v>
      </c>
      <c r="F17" s="84" t="s">
        <v>87</v>
      </c>
      <c r="G17" s="85">
        <v>0</v>
      </c>
      <c r="H17" s="85">
        <f>31497/100</f>
        <v>314.97000000000003</v>
      </c>
      <c r="I17" s="85">
        <f>31497/100</f>
        <v>314.97000000000003</v>
      </c>
      <c r="J17" s="85">
        <v>0</v>
      </c>
      <c r="K17" s="103"/>
    </row>
    <row r="18" spans="2:11" ht="25.5" x14ac:dyDescent="0.2">
      <c r="B18" s="82">
        <v>1037</v>
      </c>
      <c r="C18" s="83">
        <v>5213</v>
      </c>
      <c r="D18" s="83">
        <v>550</v>
      </c>
      <c r="E18" s="83">
        <v>30102000000</v>
      </c>
      <c r="F18" s="84" t="s">
        <v>88</v>
      </c>
      <c r="G18" s="85">
        <v>13500</v>
      </c>
      <c r="H18" s="85">
        <f>867273/100</f>
        <v>8672.73</v>
      </c>
      <c r="I18" s="85">
        <f>825371/100</f>
        <v>8253.7099999999991</v>
      </c>
      <c r="J18" s="173">
        <v>10000</v>
      </c>
      <c r="K18" s="103">
        <f>J18/G18*100</f>
        <v>74.074074074074076</v>
      </c>
    </row>
    <row r="19" spans="2:11" ht="25.5" x14ac:dyDescent="0.2">
      <c r="B19" s="82">
        <v>1037</v>
      </c>
      <c r="C19" s="83">
        <v>5223</v>
      </c>
      <c r="D19" s="83">
        <v>550</v>
      </c>
      <c r="E19" s="83">
        <v>30101000000</v>
      </c>
      <c r="F19" s="84" t="s">
        <v>105</v>
      </c>
      <c r="G19" s="85">
        <v>0</v>
      </c>
      <c r="H19" s="85">
        <f>30234/100</f>
        <v>302.33999999999997</v>
      </c>
      <c r="I19" s="85">
        <f>30234/100</f>
        <v>302.33999999999997</v>
      </c>
      <c r="J19" s="85">
        <v>0</v>
      </c>
      <c r="K19" s="103"/>
    </row>
    <row r="20" spans="2:11" ht="15" x14ac:dyDescent="0.2">
      <c r="B20" s="82">
        <v>1037</v>
      </c>
      <c r="C20" s="83">
        <v>5321</v>
      </c>
      <c r="D20" s="83">
        <v>550</v>
      </c>
      <c r="E20" s="83"/>
      <c r="F20" s="84" t="s">
        <v>106</v>
      </c>
      <c r="G20" s="85">
        <v>0</v>
      </c>
      <c r="H20" s="85">
        <v>3123</v>
      </c>
      <c r="I20" s="85">
        <v>3123</v>
      </c>
      <c r="J20" s="85">
        <v>0</v>
      </c>
      <c r="K20" s="103"/>
    </row>
    <row r="21" spans="2:11" ht="25.5" x14ac:dyDescent="0.2">
      <c r="B21" s="82">
        <v>1037</v>
      </c>
      <c r="C21" s="83">
        <v>5331</v>
      </c>
      <c r="D21" s="83">
        <v>550</v>
      </c>
      <c r="E21" s="83">
        <v>30001001132</v>
      </c>
      <c r="F21" s="84" t="s">
        <v>65</v>
      </c>
      <c r="G21" s="85">
        <v>0</v>
      </c>
      <c r="H21" s="85">
        <f>52533/100</f>
        <v>525.33000000000004</v>
      </c>
      <c r="I21" s="85">
        <f>52533/100</f>
        <v>525.33000000000004</v>
      </c>
      <c r="J21" s="85">
        <v>0</v>
      </c>
      <c r="K21" s="103"/>
    </row>
    <row r="22" spans="2:11" ht="25.5" x14ac:dyDescent="0.2">
      <c r="B22" s="82">
        <v>1037</v>
      </c>
      <c r="C22" s="83">
        <v>5493</v>
      </c>
      <c r="D22" s="83">
        <v>550</v>
      </c>
      <c r="E22" s="83">
        <v>30102000000</v>
      </c>
      <c r="F22" s="84" t="s">
        <v>107</v>
      </c>
      <c r="G22" s="85">
        <v>0</v>
      </c>
      <c r="H22" s="85">
        <f>56145/100</f>
        <v>561.45000000000005</v>
      </c>
      <c r="I22" s="85">
        <f>50295/100</f>
        <v>502.95</v>
      </c>
      <c r="J22" s="85">
        <v>0</v>
      </c>
      <c r="K22" s="103"/>
    </row>
    <row r="23" spans="2:11" ht="14.25" x14ac:dyDescent="0.2">
      <c r="B23" s="82"/>
      <c r="C23" s="83"/>
      <c r="D23" s="83"/>
      <c r="E23" s="83"/>
      <c r="F23" s="84"/>
      <c r="G23" s="87">
        <f>SUM(G17:G22)</f>
        <v>13500</v>
      </c>
      <c r="H23" s="87">
        <f>SUM(H17:H22)</f>
        <v>13499.82</v>
      </c>
      <c r="I23" s="87">
        <f>SUM(I17:I22)</f>
        <v>13022.3</v>
      </c>
      <c r="J23" s="87">
        <f>SUM(J17:J22)</f>
        <v>10000</v>
      </c>
      <c r="K23" s="104">
        <f>J23/G23*100</f>
        <v>74.074074074074076</v>
      </c>
    </row>
    <row r="24" spans="2:11" ht="15" x14ac:dyDescent="0.2">
      <c r="B24" s="82">
        <v>1039</v>
      </c>
      <c r="C24" s="83">
        <v>5169</v>
      </c>
      <c r="D24" s="83">
        <v>0</v>
      </c>
      <c r="E24" s="83">
        <v>20000000000</v>
      </c>
      <c r="F24" s="84" t="s">
        <v>15</v>
      </c>
      <c r="G24" s="85">
        <v>0</v>
      </c>
      <c r="H24" s="85">
        <v>50</v>
      </c>
      <c r="I24" s="85">
        <v>0</v>
      </c>
      <c r="J24" s="85">
        <v>0</v>
      </c>
      <c r="K24" s="103"/>
    </row>
    <row r="25" spans="2:11" ht="15" customHeight="1" x14ac:dyDescent="0.2">
      <c r="B25" s="82">
        <v>1099</v>
      </c>
      <c r="C25" s="83">
        <v>5166</v>
      </c>
      <c r="D25" s="83">
        <v>0</v>
      </c>
      <c r="E25" s="83">
        <v>20004000000</v>
      </c>
      <c r="F25" s="84" t="s">
        <v>42</v>
      </c>
      <c r="G25" s="85">
        <v>0</v>
      </c>
      <c r="H25" s="85">
        <v>0</v>
      </c>
      <c r="I25" s="85">
        <v>0</v>
      </c>
      <c r="J25" s="85">
        <v>100</v>
      </c>
      <c r="K25" s="103"/>
    </row>
    <row r="26" spans="2:11" ht="25.5" x14ac:dyDescent="0.2">
      <c r="B26" s="82">
        <v>1099</v>
      </c>
      <c r="C26" s="83">
        <v>5192</v>
      </c>
      <c r="D26" s="83">
        <v>0</v>
      </c>
      <c r="E26" s="83">
        <v>20000000000</v>
      </c>
      <c r="F26" s="84" t="s">
        <v>63</v>
      </c>
      <c r="G26" s="85">
        <v>50</v>
      </c>
      <c r="H26" s="85">
        <v>50</v>
      </c>
      <c r="I26" s="85">
        <v>0</v>
      </c>
      <c r="J26" s="85">
        <v>400</v>
      </c>
      <c r="K26" s="103">
        <f>J26/G26*100</f>
        <v>800</v>
      </c>
    </row>
    <row r="27" spans="2:11" ht="15" x14ac:dyDescent="0.2">
      <c r="B27" s="82"/>
      <c r="C27" s="83"/>
      <c r="D27" s="83"/>
      <c r="E27" s="83"/>
      <c r="F27" s="276" t="s">
        <v>660</v>
      </c>
      <c r="G27" s="277"/>
      <c r="H27" s="277"/>
      <c r="I27" s="278"/>
      <c r="J27" s="279"/>
      <c r="K27" s="103"/>
    </row>
    <row r="28" spans="2:11" ht="25.5" x14ac:dyDescent="0.2">
      <c r="B28" s="82">
        <v>1099</v>
      </c>
      <c r="C28" s="83">
        <v>5493</v>
      </c>
      <c r="D28" s="83">
        <v>553</v>
      </c>
      <c r="E28" s="83">
        <v>30102000000</v>
      </c>
      <c r="F28" s="84" t="s">
        <v>107</v>
      </c>
      <c r="G28" s="85">
        <v>0</v>
      </c>
      <c r="H28" s="85">
        <v>400</v>
      </c>
      <c r="I28" s="85">
        <f>39550/100</f>
        <v>395.5</v>
      </c>
      <c r="J28" s="85">
        <v>400</v>
      </c>
      <c r="K28" s="103"/>
    </row>
    <row r="29" spans="2:11" ht="14.25" x14ac:dyDescent="0.2">
      <c r="B29" s="82"/>
      <c r="C29" s="83"/>
      <c r="D29" s="83"/>
      <c r="E29" s="83"/>
      <c r="F29" s="84"/>
      <c r="G29" s="87">
        <f>SUM(G28)</f>
        <v>0</v>
      </c>
      <c r="H29" s="87">
        <f>SUM(H28)</f>
        <v>400</v>
      </c>
      <c r="I29" s="87">
        <f>SUM(I28)</f>
        <v>395.5</v>
      </c>
      <c r="J29" s="87">
        <f>SUM(J28)</f>
        <v>400</v>
      </c>
      <c r="K29" s="104"/>
    </row>
    <row r="30" spans="2:11" ht="25.5" x14ac:dyDescent="0.2">
      <c r="B30" s="82">
        <v>2369</v>
      </c>
      <c r="C30" s="83">
        <v>5166</v>
      </c>
      <c r="D30" s="83">
        <v>0</v>
      </c>
      <c r="E30" s="83">
        <v>20004000000</v>
      </c>
      <c r="F30" s="84" t="s">
        <v>42</v>
      </c>
      <c r="G30" s="85">
        <v>50</v>
      </c>
      <c r="H30" s="85">
        <v>25</v>
      </c>
      <c r="I30" s="85">
        <v>0</v>
      </c>
      <c r="J30" s="85">
        <v>50</v>
      </c>
      <c r="K30" s="103">
        <f>J30/G30*100</f>
        <v>100</v>
      </c>
    </row>
    <row r="31" spans="2:11" ht="15" x14ac:dyDescent="0.2">
      <c r="B31" s="82"/>
      <c r="C31" s="83"/>
      <c r="D31" s="83"/>
      <c r="E31" s="83"/>
      <c r="F31" s="276" t="s">
        <v>550</v>
      </c>
      <c r="G31" s="277"/>
      <c r="H31" s="277"/>
      <c r="I31" s="278"/>
      <c r="J31" s="279"/>
      <c r="K31" s="103"/>
    </row>
    <row r="32" spans="2:11" ht="15" x14ac:dyDescent="0.2">
      <c r="B32" s="82">
        <v>2310</v>
      </c>
      <c r="C32" s="83">
        <v>5321</v>
      </c>
      <c r="D32" s="83">
        <v>552</v>
      </c>
      <c r="E32" s="83">
        <v>30100000000</v>
      </c>
      <c r="F32" s="84" t="s">
        <v>106</v>
      </c>
      <c r="G32" s="85">
        <v>6300</v>
      </c>
      <c r="H32" s="85">
        <v>4600</v>
      </c>
      <c r="I32" s="85">
        <v>83</v>
      </c>
      <c r="J32" s="173">
        <v>5300</v>
      </c>
      <c r="K32" s="103">
        <f>J32/G32*100</f>
        <v>84.126984126984127</v>
      </c>
    </row>
    <row r="33" spans="2:11" ht="15" x14ac:dyDescent="0.2">
      <c r="B33" s="82">
        <v>2321</v>
      </c>
      <c r="C33" s="83">
        <v>5321</v>
      </c>
      <c r="D33" s="83">
        <v>552</v>
      </c>
      <c r="E33" s="83"/>
      <c r="F33" s="84" t="s">
        <v>106</v>
      </c>
      <c r="G33" s="85">
        <v>0</v>
      </c>
      <c r="H33" s="85">
        <v>350</v>
      </c>
      <c r="I33" s="85">
        <v>50</v>
      </c>
      <c r="J33" s="85">
        <v>0</v>
      </c>
      <c r="K33" s="103"/>
    </row>
    <row r="34" spans="2:11" ht="15" x14ac:dyDescent="0.2">
      <c r="B34" s="82">
        <v>2321</v>
      </c>
      <c r="C34" s="83">
        <v>6341</v>
      </c>
      <c r="D34" s="83">
        <v>552</v>
      </c>
      <c r="E34" s="83">
        <v>30100008426</v>
      </c>
      <c r="F34" s="84" t="s">
        <v>34</v>
      </c>
      <c r="G34" s="85">
        <v>0</v>
      </c>
      <c r="H34" s="85">
        <v>350</v>
      </c>
      <c r="I34" s="85">
        <v>350</v>
      </c>
      <c r="J34" s="85">
        <v>0</v>
      </c>
      <c r="K34" s="103"/>
    </row>
    <row r="35" spans="2:11" ht="15" x14ac:dyDescent="0.2">
      <c r="B35" s="82">
        <v>3739</v>
      </c>
      <c r="C35" s="83">
        <v>6341</v>
      </c>
      <c r="D35" s="83">
        <v>552</v>
      </c>
      <c r="E35" s="83">
        <v>30100008154</v>
      </c>
      <c r="F35" s="84" t="s">
        <v>34</v>
      </c>
      <c r="G35" s="85">
        <v>0</v>
      </c>
      <c r="H35" s="85">
        <v>1000</v>
      </c>
      <c r="I35" s="85">
        <v>1000</v>
      </c>
      <c r="J35" s="85">
        <v>0</v>
      </c>
      <c r="K35" s="103"/>
    </row>
    <row r="36" spans="2:11" ht="14.25" x14ac:dyDescent="0.2">
      <c r="B36" s="82"/>
      <c r="C36" s="83"/>
      <c r="D36" s="83"/>
      <c r="E36" s="83"/>
      <c r="F36" s="84"/>
      <c r="G36" s="87">
        <f>SUM(G32:G35)</f>
        <v>6300</v>
      </c>
      <c r="H36" s="87">
        <f>SUM(H32:H35)</f>
        <v>6300</v>
      </c>
      <c r="I36" s="87">
        <f>SUM(I32:I35)</f>
        <v>1483</v>
      </c>
      <c r="J36" s="87">
        <f>SUM(J32:J35)</f>
        <v>5300</v>
      </c>
      <c r="K36" s="104">
        <f>J36/G36*100</f>
        <v>84.126984126984127</v>
      </c>
    </row>
    <row r="37" spans="2:11" ht="25.5" x14ac:dyDescent="0.2">
      <c r="B37" s="82">
        <v>2321</v>
      </c>
      <c r="C37" s="83">
        <v>6313</v>
      </c>
      <c r="D37" s="83">
        <v>24</v>
      </c>
      <c r="E37" s="83">
        <v>30102000000</v>
      </c>
      <c r="F37" s="84" t="s">
        <v>145</v>
      </c>
      <c r="G37" s="85">
        <v>0</v>
      </c>
      <c r="H37" s="85">
        <v>5766</v>
      </c>
      <c r="I37" s="85">
        <v>0</v>
      </c>
      <c r="J37" s="85">
        <v>0</v>
      </c>
      <c r="K37" s="103"/>
    </row>
    <row r="38" spans="2:11" ht="25.5" x14ac:dyDescent="0.2">
      <c r="B38" s="82">
        <v>2399</v>
      </c>
      <c r="C38" s="83">
        <v>6313</v>
      </c>
      <c r="D38" s="83">
        <v>0</v>
      </c>
      <c r="E38" s="83">
        <v>30102000000</v>
      </c>
      <c r="F38" s="84" t="s">
        <v>145</v>
      </c>
      <c r="G38" s="85">
        <v>0</v>
      </c>
      <c r="H38" s="85">
        <v>0</v>
      </c>
      <c r="I38" s="85">
        <v>0</v>
      </c>
      <c r="J38" s="85">
        <v>1000</v>
      </c>
      <c r="K38" s="103"/>
    </row>
    <row r="39" spans="2:11" ht="15.75" customHeight="1" x14ac:dyDescent="0.2">
      <c r="B39" s="82">
        <v>3719</v>
      </c>
      <c r="C39" s="83">
        <v>5166</v>
      </c>
      <c r="D39" s="83">
        <v>0</v>
      </c>
      <c r="E39" s="83">
        <v>20004000000</v>
      </c>
      <c r="F39" s="84" t="s">
        <v>42</v>
      </c>
      <c r="G39" s="85">
        <v>50</v>
      </c>
      <c r="H39" s="85">
        <v>50</v>
      </c>
      <c r="I39" s="85">
        <v>0</v>
      </c>
      <c r="J39" s="85">
        <v>400</v>
      </c>
      <c r="K39" s="103">
        <f>J39/G39*100</f>
        <v>800</v>
      </c>
    </row>
    <row r="40" spans="2:11" ht="15" x14ac:dyDescent="0.2">
      <c r="B40" s="82">
        <v>3719</v>
      </c>
      <c r="C40" s="83">
        <v>5168</v>
      </c>
      <c r="D40" s="83">
        <v>0</v>
      </c>
      <c r="E40" s="83">
        <v>20004000000</v>
      </c>
      <c r="F40" s="84" t="s">
        <v>171</v>
      </c>
      <c r="G40" s="85">
        <v>100</v>
      </c>
      <c r="H40" s="85">
        <v>100</v>
      </c>
      <c r="I40" s="85">
        <v>0</v>
      </c>
      <c r="J40" s="85">
        <v>100</v>
      </c>
      <c r="K40" s="103">
        <f>J40/G40*100</f>
        <v>100</v>
      </c>
    </row>
    <row r="41" spans="2:11" ht="15" x14ac:dyDescent="0.2">
      <c r="B41" s="82">
        <v>3725</v>
      </c>
      <c r="C41" s="83">
        <v>5169</v>
      </c>
      <c r="D41" s="83">
        <v>0</v>
      </c>
      <c r="E41" s="83">
        <v>20000000000</v>
      </c>
      <c r="F41" s="84" t="s">
        <v>15</v>
      </c>
      <c r="G41" s="85">
        <v>900</v>
      </c>
      <c r="H41" s="85">
        <v>900</v>
      </c>
      <c r="I41" s="85">
        <v>0</v>
      </c>
      <c r="J41" s="85">
        <v>700</v>
      </c>
      <c r="K41" s="103">
        <f>J41/G41*100</f>
        <v>77.777777777777786</v>
      </c>
    </row>
    <row r="42" spans="2:11" ht="15.75" customHeight="1" x14ac:dyDescent="0.2">
      <c r="B42" s="82">
        <v>3729</v>
      </c>
      <c r="C42" s="83">
        <v>5166</v>
      </c>
      <c r="D42" s="83">
        <v>0</v>
      </c>
      <c r="E42" s="83">
        <v>20004000000</v>
      </c>
      <c r="F42" s="84" t="s">
        <v>42</v>
      </c>
      <c r="G42" s="85">
        <v>300</v>
      </c>
      <c r="H42" s="85">
        <v>300</v>
      </c>
      <c r="I42" s="85">
        <v>0</v>
      </c>
      <c r="J42" s="85">
        <v>450</v>
      </c>
      <c r="K42" s="103">
        <f>J42/G42*100</f>
        <v>150</v>
      </c>
    </row>
    <row r="43" spans="2:11" ht="15" x14ac:dyDescent="0.2">
      <c r="B43" s="82">
        <v>3741</v>
      </c>
      <c r="C43" s="83">
        <v>5164</v>
      </c>
      <c r="D43" s="83">
        <v>0</v>
      </c>
      <c r="E43" s="83">
        <v>20000000000</v>
      </c>
      <c r="F43" s="84" t="s">
        <v>20</v>
      </c>
      <c r="G43" s="85">
        <v>0</v>
      </c>
      <c r="H43" s="85">
        <f>250/100</f>
        <v>2.5</v>
      </c>
      <c r="I43" s="85">
        <f>250/100</f>
        <v>2.5</v>
      </c>
      <c r="J43" s="85">
        <v>0</v>
      </c>
      <c r="K43" s="103"/>
    </row>
    <row r="44" spans="2:11" ht="15" x14ac:dyDescent="0.2">
      <c r="B44" s="82">
        <v>3741</v>
      </c>
      <c r="C44" s="83">
        <v>5169</v>
      </c>
      <c r="D44" s="83">
        <v>0</v>
      </c>
      <c r="E44" s="83">
        <v>20000000000</v>
      </c>
      <c r="F44" s="84" t="s">
        <v>15</v>
      </c>
      <c r="G44" s="85">
        <v>250</v>
      </c>
      <c r="H44" s="85">
        <v>250</v>
      </c>
      <c r="I44" s="85">
        <v>125</v>
      </c>
      <c r="J44" s="85">
        <v>250</v>
      </c>
      <c r="K44" s="103">
        <f>J44/G44*100</f>
        <v>100</v>
      </c>
    </row>
    <row r="45" spans="2:11" ht="15" x14ac:dyDescent="0.2">
      <c r="B45" s="82">
        <v>3741</v>
      </c>
      <c r="C45" s="83">
        <v>5173</v>
      </c>
      <c r="D45" s="83">
        <v>0</v>
      </c>
      <c r="E45" s="83">
        <v>20000000000</v>
      </c>
      <c r="F45" s="84" t="s">
        <v>44</v>
      </c>
      <c r="G45" s="85">
        <v>0</v>
      </c>
      <c r="H45" s="85">
        <f>320/100</f>
        <v>3.2</v>
      </c>
      <c r="I45" s="85">
        <f>320/100</f>
        <v>3.2</v>
      </c>
      <c r="J45" s="85">
        <v>0</v>
      </c>
      <c r="K45" s="103"/>
    </row>
    <row r="46" spans="2:11" ht="15" customHeight="1" x14ac:dyDescent="0.2">
      <c r="B46" s="82">
        <v>3742</v>
      </c>
      <c r="C46" s="83">
        <v>5166</v>
      </c>
      <c r="D46" s="83">
        <v>0</v>
      </c>
      <c r="E46" s="83">
        <v>20004000000</v>
      </c>
      <c r="F46" s="84" t="s">
        <v>42</v>
      </c>
      <c r="G46" s="85">
        <v>200</v>
      </c>
      <c r="H46" s="85">
        <f>18427/100</f>
        <v>184.27</v>
      </c>
      <c r="I46" s="85">
        <f>970/100</f>
        <v>9.6999999999999993</v>
      </c>
      <c r="J46" s="85">
        <v>200</v>
      </c>
      <c r="K46" s="103">
        <f>J46/G46*100</f>
        <v>100</v>
      </c>
    </row>
    <row r="47" spans="2:11" ht="15" x14ac:dyDescent="0.2">
      <c r="B47" s="82">
        <v>3742</v>
      </c>
      <c r="C47" s="83">
        <v>5169</v>
      </c>
      <c r="D47" s="83">
        <v>0</v>
      </c>
      <c r="E47" s="83">
        <v>20000000000</v>
      </c>
      <c r="F47" s="84" t="s">
        <v>15</v>
      </c>
      <c r="G47" s="85">
        <v>3000</v>
      </c>
      <c r="H47" s="85">
        <f>297003/100</f>
        <v>2970.03</v>
      </c>
      <c r="I47" s="85">
        <f>95669/100</f>
        <v>956.69</v>
      </c>
      <c r="J47" s="85">
        <v>3000</v>
      </c>
      <c r="K47" s="103">
        <f>J47/G47*100</f>
        <v>100</v>
      </c>
    </row>
    <row r="48" spans="2:11" ht="15" customHeight="1" x14ac:dyDescent="0.2">
      <c r="B48" s="82">
        <v>3769</v>
      </c>
      <c r="C48" s="83">
        <v>5166</v>
      </c>
      <c r="D48" s="83">
        <v>0</v>
      </c>
      <c r="E48" s="83">
        <v>20004000000</v>
      </c>
      <c r="F48" s="84" t="s">
        <v>42</v>
      </c>
      <c r="G48" s="85">
        <v>380</v>
      </c>
      <c r="H48" s="85">
        <v>305</v>
      </c>
      <c r="I48" s="85">
        <v>0</v>
      </c>
      <c r="J48" s="85">
        <v>380</v>
      </c>
      <c r="K48" s="103">
        <f>J48/G48*100</f>
        <v>100</v>
      </c>
    </row>
    <row r="49" spans="2:12" ht="15" x14ac:dyDescent="0.2">
      <c r="B49" s="82">
        <v>3769</v>
      </c>
      <c r="C49" s="83">
        <v>5168</v>
      </c>
      <c r="D49" s="83">
        <v>0</v>
      </c>
      <c r="E49" s="83">
        <v>20004000000</v>
      </c>
      <c r="F49" s="84" t="s">
        <v>171</v>
      </c>
      <c r="G49" s="85">
        <v>0</v>
      </c>
      <c r="H49" s="85">
        <v>0</v>
      </c>
      <c r="I49" s="85">
        <v>0</v>
      </c>
      <c r="J49" s="85">
        <v>0</v>
      </c>
      <c r="K49" s="103"/>
    </row>
    <row r="50" spans="2:12" ht="15.75" thickBot="1" x14ac:dyDescent="0.25">
      <c r="B50" s="92">
        <v>3769</v>
      </c>
      <c r="C50" s="93">
        <v>5169</v>
      </c>
      <c r="D50" s="93">
        <v>0</v>
      </c>
      <c r="E50" s="93">
        <v>20000000000</v>
      </c>
      <c r="F50" s="94" t="s">
        <v>15</v>
      </c>
      <c r="G50" s="95">
        <v>20</v>
      </c>
      <c r="H50" s="95">
        <v>20</v>
      </c>
      <c r="I50" s="85">
        <v>0</v>
      </c>
      <c r="J50" s="85">
        <v>20</v>
      </c>
      <c r="K50" s="103">
        <f>J50/G50*100</f>
        <v>100</v>
      </c>
    </row>
    <row r="51" spans="2:12" ht="15.75" thickBot="1" x14ac:dyDescent="0.25">
      <c r="B51" s="18" t="s">
        <v>25</v>
      </c>
      <c r="C51" s="19"/>
      <c r="D51" s="19"/>
      <c r="E51" s="19"/>
      <c r="F51" s="20"/>
      <c r="G51" s="21">
        <f>SUM(G37:G50,G36,G30,G29,G24:G26,G23,G10:G15)</f>
        <v>25202</v>
      </c>
      <c r="H51" s="21">
        <f>SUM(H37:H50,H36,H30,H29,H24:H26,H23,H10:H15)</f>
        <v>31267.82</v>
      </c>
      <c r="I51" s="21">
        <f>SUM(I37:I50,I36,I30,I29,I24:I26,I23,I10:I15)</f>
        <v>16077</v>
      </c>
      <c r="J51" s="210">
        <f>SUM(J37:J50,J36,J30,J29,J24:J26,J23,J10:J15)</f>
        <v>23357</v>
      </c>
      <c r="K51" s="155">
        <f>J51/G51*100</f>
        <v>92.679152448218389</v>
      </c>
    </row>
    <row r="52" spans="2:12" ht="15" x14ac:dyDescent="0.2">
      <c r="F52" s="1"/>
      <c r="G52" s="1"/>
      <c r="H52" s="1"/>
      <c r="I52" s="1"/>
      <c r="J52" s="153"/>
      <c r="K52" s="109"/>
      <c r="L52" s="154"/>
    </row>
    <row r="53" spans="2:12" s="123" customFormat="1" ht="14.25" x14ac:dyDescent="0.2">
      <c r="B53" s="122"/>
      <c r="F53" s="185"/>
      <c r="G53" s="185"/>
      <c r="H53" s="185"/>
      <c r="I53" s="185"/>
      <c r="J53" s="185"/>
      <c r="K53" s="186"/>
    </row>
    <row r="54" spans="2:12" s="123" customFormat="1" ht="14.25" x14ac:dyDescent="0.2">
      <c r="F54" s="185"/>
      <c r="G54" s="185"/>
      <c r="H54" s="185"/>
      <c r="I54" s="185"/>
      <c r="J54" s="185"/>
      <c r="K54" s="186"/>
    </row>
    <row r="55" spans="2:12" s="123" customFormat="1" ht="14.25" x14ac:dyDescent="0.2">
      <c r="F55" s="185"/>
      <c r="G55" s="185"/>
      <c r="H55" s="185"/>
      <c r="I55" s="185"/>
      <c r="J55" s="185"/>
      <c r="K55" s="186"/>
    </row>
    <row r="56" spans="2:12" s="123" customFormat="1" ht="14.25" x14ac:dyDescent="0.2">
      <c r="F56" s="185"/>
      <c r="G56" s="185"/>
      <c r="H56" s="185"/>
      <c r="I56" s="185"/>
      <c r="J56" s="185"/>
      <c r="K56" s="186"/>
    </row>
    <row r="57" spans="2:12" s="123" customFormat="1" ht="14.25" x14ac:dyDescent="0.2">
      <c r="F57" s="185"/>
      <c r="G57" s="185"/>
      <c r="H57" s="185"/>
      <c r="I57" s="185"/>
      <c r="J57" s="185"/>
      <c r="K57" s="186"/>
    </row>
    <row r="58" spans="2:12" s="123" customFormat="1" ht="14.25" x14ac:dyDescent="0.2">
      <c r="F58" s="185"/>
      <c r="G58" s="185"/>
      <c r="H58" s="185"/>
      <c r="I58" s="185"/>
      <c r="J58" s="185"/>
      <c r="K58" s="186"/>
    </row>
    <row r="59" spans="2:12" s="123" customFormat="1" ht="14.25" x14ac:dyDescent="0.2">
      <c r="F59" s="185"/>
      <c r="G59" s="185"/>
      <c r="H59" s="185"/>
      <c r="I59" s="185"/>
      <c r="J59" s="185"/>
      <c r="K59" s="186"/>
    </row>
    <row r="60" spans="2:12" s="123" customFormat="1" ht="15.75" thickBot="1" x14ac:dyDescent="0.25">
      <c r="B60" s="22" t="s">
        <v>172</v>
      </c>
      <c r="C60" s="22"/>
      <c r="D60" s="22"/>
      <c r="E60" s="22"/>
      <c r="F60" s="23"/>
      <c r="G60" s="23"/>
      <c r="H60" s="24"/>
      <c r="I60" s="24"/>
      <c r="J60" s="24">
        <v>200</v>
      </c>
      <c r="K60" s="108" t="s">
        <v>27</v>
      </c>
    </row>
    <row r="61" spans="2:12" s="123" customFormat="1" ht="57" customHeight="1" thickTop="1" x14ac:dyDescent="0.2">
      <c r="B61" s="265" t="s">
        <v>428</v>
      </c>
      <c r="C61" s="266"/>
      <c r="D61" s="266"/>
      <c r="E61" s="266"/>
      <c r="F61" s="266"/>
      <c r="G61" s="266"/>
      <c r="H61" s="266"/>
      <c r="I61" s="266"/>
      <c r="J61" s="266"/>
      <c r="K61" s="266"/>
    </row>
    <row r="62" spans="2:12" s="123" customFormat="1" ht="15.75" thickBot="1" x14ac:dyDescent="0.25">
      <c r="B62" s="22" t="s">
        <v>173</v>
      </c>
      <c r="C62" s="22"/>
      <c r="D62" s="22"/>
      <c r="E62" s="22"/>
      <c r="F62" s="23"/>
      <c r="G62" s="23"/>
      <c r="H62" s="24"/>
      <c r="I62" s="24"/>
      <c r="J62" s="24">
        <v>150</v>
      </c>
      <c r="K62" s="108" t="s">
        <v>27</v>
      </c>
    </row>
    <row r="63" spans="2:12" s="123" customFormat="1" ht="98.25" customHeight="1" thickTop="1" x14ac:dyDescent="0.2">
      <c r="B63" s="265" t="s">
        <v>597</v>
      </c>
      <c r="C63" s="266"/>
      <c r="D63" s="266"/>
      <c r="E63" s="266"/>
      <c r="F63" s="266"/>
      <c r="G63" s="266"/>
      <c r="H63" s="266"/>
      <c r="I63" s="266"/>
      <c r="J63" s="266"/>
      <c r="K63" s="266"/>
    </row>
    <row r="64" spans="2:12" s="123" customFormat="1" ht="15.75" thickBot="1" x14ac:dyDescent="0.25">
      <c r="B64" s="22" t="s">
        <v>174</v>
      </c>
      <c r="C64" s="22"/>
      <c r="D64" s="22"/>
      <c r="E64" s="22"/>
      <c r="F64" s="23"/>
      <c r="G64" s="23"/>
      <c r="H64" s="24"/>
      <c r="I64" s="24"/>
      <c r="J64" s="24">
        <v>2</v>
      </c>
      <c r="K64" s="108" t="s">
        <v>27</v>
      </c>
    </row>
    <row r="65" spans="2:11" s="123" customFormat="1" ht="40.5" customHeight="1" thickTop="1" x14ac:dyDescent="0.2">
      <c r="B65" s="265" t="s">
        <v>427</v>
      </c>
      <c r="C65" s="266"/>
      <c r="D65" s="266"/>
      <c r="E65" s="266"/>
      <c r="F65" s="266"/>
      <c r="G65" s="266"/>
      <c r="H65" s="266"/>
      <c r="I65" s="266"/>
      <c r="J65" s="266"/>
      <c r="K65" s="266"/>
    </row>
    <row r="66" spans="2:11" s="123" customFormat="1" ht="15.75" thickBot="1" x14ac:dyDescent="0.25">
      <c r="B66" s="22" t="s">
        <v>175</v>
      </c>
      <c r="C66" s="22"/>
      <c r="D66" s="22"/>
      <c r="E66" s="22"/>
      <c r="F66" s="23"/>
      <c r="G66" s="23"/>
      <c r="H66" s="24"/>
      <c r="I66" s="24"/>
      <c r="J66" s="24">
        <v>60</v>
      </c>
      <c r="K66" s="108" t="s">
        <v>27</v>
      </c>
    </row>
    <row r="67" spans="2:11" s="123" customFormat="1" ht="109.5" customHeight="1" thickTop="1" x14ac:dyDescent="0.2">
      <c r="B67" s="265" t="s">
        <v>420</v>
      </c>
      <c r="C67" s="266"/>
      <c r="D67" s="266"/>
      <c r="E67" s="266"/>
      <c r="F67" s="266"/>
      <c r="G67" s="266"/>
      <c r="H67" s="266"/>
      <c r="I67" s="266"/>
      <c r="J67" s="266"/>
      <c r="K67" s="266"/>
    </row>
    <row r="68" spans="2:11" s="123" customFormat="1" ht="15.75" thickBot="1" x14ac:dyDescent="0.25">
      <c r="B68" s="22" t="s">
        <v>176</v>
      </c>
      <c r="C68" s="22"/>
      <c r="D68" s="22"/>
      <c r="E68" s="22"/>
      <c r="F68" s="23"/>
      <c r="G68" s="23"/>
      <c r="H68" s="24"/>
      <c r="I68" s="24"/>
      <c r="J68" s="24">
        <v>45</v>
      </c>
      <c r="K68" s="108" t="s">
        <v>27</v>
      </c>
    </row>
    <row r="69" spans="2:11" s="123" customFormat="1" ht="45" customHeight="1" thickTop="1" x14ac:dyDescent="0.2">
      <c r="B69" s="269" t="s">
        <v>598</v>
      </c>
      <c r="C69" s="270"/>
      <c r="D69" s="270"/>
      <c r="E69" s="270"/>
      <c r="F69" s="270"/>
      <c r="G69" s="270"/>
      <c r="H69" s="270"/>
      <c r="I69" s="270"/>
      <c r="J69" s="270"/>
      <c r="K69" s="270"/>
    </row>
    <row r="70" spans="2:11" s="123" customFormat="1" ht="15.75" thickBot="1" x14ac:dyDescent="0.25">
      <c r="B70" s="22" t="s">
        <v>177</v>
      </c>
      <c r="C70" s="22"/>
      <c r="D70" s="22"/>
      <c r="E70" s="22"/>
      <c r="F70" s="23"/>
      <c r="G70" s="23"/>
      <c r="H70" s="24"/>
      <c r="I70" s="24"/>
      <c r="J70" s="24">
        <v>150</v>
      </c>
      <c r="K70" s="108" t="s">
        <v>27</v>
      </c>
    </row>
    <row r="71" spans="2:11" s="123" customFormat="1" ht="57.75" customHeight="1" thickTop="1" x14ac:dyDescent="0.2">
      <c r="B71" s="265" t="s">
        <v>421</v>
      </c>
      <c r="C71" s="266"/>
      <c r="D71" s="266"/>
      <c r="E71" s="266"/>
      <c r="F71" s="266"/>
      <c r="G71" s="266"/>
      <c r="H71" s="266"/>
      <c r="I71" s="266"/>
      <c r="J71" s="266"/>
      <c r="K71" s="266"/>
    </row>
    <row r="72" spans="2:11" s="123" customFormat="1" ht="16.5" customHeight="1" x14ac:dyDescent="0.2">
      <c r="B72" s="273" t="s">
        <v>549</v>
      </c>
      <c r="C72" s="274"/>
      <c r="D72" s="274"/>
      <c r="E72" s="274"/>
      <c r="F72" s="274"/>
      <c r="G72" s="274"/>
      <c r="H72" s="274"/>
      <c r="I72" s="187"/>
      <c r="J72" s="187"/>
      <c r="K72" s="187"/>
    </row>
    <row r="73" spans="2:11" s="123" customFormat="1" ht="15.75" thickBot="1" x14ac:dyDescent="0.25">
      <c r="B73" s="22" t="s">
        <v>178</v>
      </c>
      <c r="C73" s="22"/>
      <c r="D73" s="22"/>
      <c r="E73" s="22"/>
      <c r="F73" s="23"/>
      <c r="G73" s="23"/>
      <c r="H73" s="24"/>
      <c r="I73" s="24"/>
      <c r="J73" s="24">
        <v>10000</v>
      </c>
      <c r="K73" s="108" t="s">
        <v>27</v>
      </c>
    </row>
    <row r="74" spans="2:11" s="123" customFormat="1" ht="126" customHeight="1" thickTop="1" x14ac:dyDescent="0.2">
      <c r="B74" s="265" t="s">
        <v>422</v>
      </c>
      <c r="C74" s="266"/>
      <c r="D74" s="266"/>
      <c r="E74" s="266"/>
      <c r="F74" s="266"/>
      <c r="G74" s="266"/>
      <c r="H74" s="266"/>
      <c r="I74" s="266"/>
      <c r="J74" s="266"/>
      <c r="K74" s="266"/>
    </row>
    <row r="75" spans="2:11" s="123" customFormat="1" ht="15.75" thickBot="1" x14ac:dyDescent="0.25">
      <c r="B75" s="22" t="s">
        <v>179</v>
      </c>
      <c r="C75" s="22"/>
      <c r="D75" s="22"/>
      <c r="E75" s="22"/>
      <c r="F75" s="23"/>
      <c r="G75" s="23"/>
      <c r="H75" s="24"/>
      <c r="I75" s="24"/>
      <c r="J75" s="24">
        <v>100</v>
      </c>
      <c r="K75" s="108" t="s">
        <v>27</v>
      </c>
    </row>
    <row r="76" spans="2:11" s="123" customFormat="1" ht="62.25" customHeight="1" thickTop="1" x14ac:dyDescent="0.2">
      <c r="B76" s="265" t="s">
        <v>599</v>
      </c>
      <c r="C76" s="266"/>
      <c r="D76" s="266"/>
      <c r="E76" s="266"/>
      <c r="F76" s="266"/>
      <c r="G76" s="266"/>
      <c r="H76" s="266"/>
      <c r="I76" s="266"/>
      <c r="J76" s="266"/>
      <c r="K76" s="266"/>
    </row>
    <row r="77" spans="2:11" s="123" customFormat="1" ht="15.75" thickBot="1" x14ac:dyDescent="0.25">
      <c r="B77" s="22" t="s">
        <v>180</v>
      </c>
      <c r="C77" s="22"/>
      <c r="D77" s="22"/>
      <c r="E77" s="22"/>
      <c r="F77" s="23"/>
      <c r="G77" s="23"/>
      <c r="H77" s="24"/>
      <c r="I77" s="24"/>
      <c r="J77" s="24">
        <v>400</v>
      </c>
      <c r="K77" s="108" t="s">
        <v>27</v>
      </c>
    </row>
    <row r="78" spans="2:11" s="197" customFormat="1" ht="27" customHeight="1" thickTop="1" x14ac:dyDescent="0.2">
      <c r="B78" s="265" t="s">
        <v>423</v>
      </c>
      <c r="C78" s="266"/>
      <c r="D78" s="266"/>
      <c r="E78" s="266"/>
      <c r="F78" s="266"/>
      <c r="G78" s="266"/>
      <c r="H78" s="266"/>
      <c r="I78" s="266"/>
      <c r="J78" s="266"/>
      <c r="K78" s="266"/>
    </row>
    <row r="79" spans="2:11" s="123" customFormat="1" ht="94.5" customHeight="1" x14ac:dyDescent="0.2">
      <c r="B79" s="275" t="s">
        <v>424</v>
      </c>
      <c r="C79" s="291"/>
      <c r="D79" s="291"/>
      <c r="E79" s="291"/>
      <c r="F79" s="291"/>
      <c r="G79" s="291"/>
      <c r="H79" s="291"/>
      <c r="I79" s="291"/>
      <c r="J79" s="291"/>
      <c r="K79" s="291"/>
    </row>
    <row r="80" spans="2:11" s="123" customFormat="1" ht="16.5" customHeight="1" x14ac:dyDescent="0.2">
      <c r="B80" s="191"/>
      <c r="C80" s="187"/>
      <c r="D80" s="187"/>
      <c r="E80" s="187"/>
      <c r="F80" s="187"/>
      <c r="G80" s="187"/>
      <c r="H80" s="187"/>
      <c r="I80" s="187"/>
      <c r="J80" s="187"/>
      <c r="K80" s="187"/>
    </row>
    <row r="81" spans="2:11" s="123" customFormat="1" ht="16.5" customHeight="1" x14ac:dyDescent="0.2">
      <c r="B81" s="191"/>
      <c r="C81" s="187"/>
      <c r="D81" s="187"/>
      <c r="E81" s="187"/>
      <c r="F81" s="187"/>
      <c r="G81" s="187"/>
      <c r="H81" s="187"/>
      <c r="I81" s="187"/>
      <c r="J81" s="187"/>
      <c r="K81" s="187"/>
    </row>
    <row r="82" spans="2:11" s="123" customFormat="1" ht="16.5" customHeight="1" x14ac:dyDescent="0.2">
      <c r="B82" s="191"/>
      <c r="C82" s="187"/>
      <c r="D82" s="187"/>
      <c r="E82" s="187"/>
      <c r="F82" s="187"/>
      <c r="G82" s="187"/>
      <c r="H82" s="187"/>
      <c r="I82" s="187"/>
      <c r="J82" s="187"/>
      <c r="K82" s="187"/>
    </row>
    <row r="83" spans="2:11" s="123" customFormat="1" ht="16.5" customHeight="1" x14ac:dyDescent="0.2">
      <c r="B83" s="191"/>
      <c r="C83" s="187"/>
      <c r="D83" s="187"/>
      <c r="E83" s="187"/>
      <c r="F83" s="187"/>
      <c r="G83" s="187"/>
      <c r="H83" s="187"/>
      <c r="I83" s="187"/>
      <c r="J83" s="187"/>
      <c r="K83" s="187"/>
    </row>
    <row r="84" spans="2:11" s="123" customFormat="1" ht="16.5" customHeight="1" x14ac:dyDescent="0.2">
      <c r="B84" s="191"/>
      <c r="C84" s="187"/>
      <c r="D84" s="187"/>
      <c r="E84" s="187"/>
      <c r="F84" s="187"/>
      <c r="G84" s="187"/>
      <c r="H84" s="187"/>
      <c r="I84" s="187"/>
      <c r="J84" s="187"/>
      <c r="K84" s="187"/>
    </row>
    <row r="85" spans="2:11" s="123" customFormat="1" ht="16.5" customHeight="1" x14ac:dyDescent="0.2">
      <c r="B85" s="191"/>
      <c r="C85" s="187"/>
      <c r="D85" s="187"/>
      <c r="E85" s="187"/>
      <c r="F85" s="187"/>
      <c r="G85" s="187"/>
      <c r="H85" s="187"/>
      <c r="I85" s="187"/>
      <c r="J85" s="187"/>
      <c r="K85" s="187"/>
    </row>
    <row r="86" spans="2:11" s="123" customFormat="1" ht="16.5" customHeight="1" x14ac:dyDescent="0.2">
      <c r="B86" s="191"/>
      <c r="C86" s="187"/>
      <c r="D86" s="187"/>
      <c r="E86" s="187"/>
      <c r="F86" s="187"/>
      <c r="G86" s="187"/>
      <c r="H86" s="187"/>
      <c r="I86" s="187"/>
      <c r="J86" s="187"/>
      <c r="K86" s="187"/>
    </row>
    <row r="87" spans="2:11" s="123" customFormat="1" ht="15.75" thickBot="1" x14ac:dyDescent="0.25">
      <c r="B87" s="22" t="s">
        <v>181</v>
      </c>
      <c r="C87" s="22"/>
      <c r="D87" s="22"/>
      <c r="E87" s="22"/>
      <c r="F87" s="23"/>
      <c r="G87" s="23"/>
      <c r="H87" s="24"/>
      <c r="I87" s="24"/>
      <c r="J87" s="24">
        <v>400</v>
      </c>
      <c r="K87" s="108" t="s">
        <v>27</v>
      </c>
    </row>
    <row r="88" spans="2:11" s="123" customFormat="1" ht="125.25" customHeight="1" thickTop="1" x14ac:dyDescent="0.2">
      <c r="B88" s="265" t="s">
        <v>425</v>
      </c>
      <c r="C88" s="266"/>
      <c r="D88" s="266"/>
      <c r="E88" s="266"/>
      <c r="F88" s="266"/>
      <c r="G88" s="266"/>
      <c r="H88" s="266"/>
      <c r="I88" s="266"/>
      <c r="J88" s="266"/>
      <c r="K88" s="266"/>
    </row>
    <row r="89" spans="2:11" s="123" customFormat="1" ht="14.25" x14ac:dyDescent="0.2">
      <c r="K89" s="186"/>
    </row>
    <row r="90" spans="2:11" s="123" customFormat="1" ht="15.75" thickBot="1" x14ac:dyDescent="0.25">
      <c r="B90" s="22" t="s">
        <v>183</v>
      </c>
      <c r="C90" s="22"/>
      <c r="D90" s="22"/>
      <c r="E90" s="22"/>
      <c r="F90" s="23"/>
      <c r="G90" s="23"/>
      <c r="H90" s="24"/>
      <c r="I90" s="24"/>
      <c r="J90" s="24">
        <v>50</v>
      </c>
      <c r="K90" s="108" t="s">
        <v>27</v>
      </c>
    </row>
    <row r="91" spans="2:11" s="123" customFormat="1" ht="42.75" customHeight="1" thickTop="1" x14ac:dyDescent="0.2">
      <c r="B91" s="269" t="s">
        <v>503</v>
      </c>
      <c r="C91" s="270"/>
      <c r="D91" s="270"/>
      <c r="E91" s="270"/>
      <c r="F91" s="270"/>
      <c r="G91" s="270"/>
      <c r="H91" s="270"/>
      <c r="I91" s="270"/>
      <c r="J91" s="270"/>
      <c r="K91" s="270"/>
    </row>
    <row r="92" spans="2:11" s="123" customFormat="1" ht="16.5" customHeight="1" x14ac:dyDescent="0.2">
      <c r="B92" s="273" t="s">
        <v>550</v>
      </c>
      <c r="C92" s="274"/>
      <c r="D92" s="274"/>
      <c r="E92" s="274"/>
      <c r="F92" s="274"/>
      <c r="G92" s="274"/>
      <c r="H92" s="274"/>
      <c r="I92" s="187"/>
      <c r="J92" s="187"/>
      <c r="K92" s="187"/>
    </row>
    <row r="93" spans="2:11" s="123" customFormat="1" ht="15.75" thickBot="1" x14ac:dyDescent="0.25">
      <c r="B93" s="22" t="s">
        <v>182</v>
      </c>
      <c r="C93" s="22"/>
      <c r="D93" s="22"/>
      <c r="E93" s="22"/>
      <c r="F93" s="23"/>
      <c r="G93" s="23"/>
      <c r="H93" s="24"/>
      <c r="I93" s="24"/>
      <c r="J93" s="24">
        <v>5300</v>
      </c>
      <c r="K93" s="108" t="s">
        <v>27</v>
      </c>
    </row>
    <row r="94" spans="2:11" s="123" customFormat="1" ht="244.5" customHeight="1" thickTop="1" x14ac:dyDescent="0.2">
      <c r="B94" s="265" t="s">
        <v>505</v>
      </c>
      <c r="C94" s="266"/>
      <c r="D94" s="266"/>
      <c r="E94" s="266"/>
      <c r="F94" s="266"/>
      <c r="G94" s="266"/>
      <c r="H94" s="266"/>
      <c r="I94" s="266"/>
      <c r="J94" s="266"/>
      <c r="K94" s="266"/>
    </row>
    <row r="95" spans="2:11" s="123" customFormat="1" ht="15.75" thickBot="1" x14ac:dyDescent="0.25">
      <c r="B95" s="22" t="s">
        <v>184</v>
      </c>
      <c r="C95" s="22"/>
      <c r="D95" s="22"/>
      <c r="E95" s="22"/>
      <c r="F95" s="23"/>
      <c r="G95" s="23"/>
      <c r="H95" s="24"/>
      <c r="I95" s="24"/>
      <c r="J95" s="24">
        <v>1000</v>
      </c>
      <c r="K95" s="108" t="s">
        <v>27</v>
      </c>
    </row>
    <row r="96" spans="2:11" s="123" customFormat="1" ht="113.25" customHeight="1" thickTop="1" x14ac:dyDescent="0.2">
      <c r="B96" s="265" t="s">
        <v>504</v>
      </c>
      <c r="C96" s="266"/>
      <c r="D96" s="266"/>
      <c r="E96" s="266"/>
      <c r="F96" s="266"/>
      <c r="G96" s="266"/>
      <c r="H96" s="266"/>
      <c r="I96" s="266"/>
      <c r="J96" s="266"/>
      <c r="K96" s="266"/>
    </row>
    <row r="97" spans="2:11" s="123" customFormat="1" ht="15.75" thickBot="1" x14ac:dyDescent="0.25">
      <c r="B97" s="22" t="s">
        <v>185</v>
      </c>
      <c r="C97" s="22"/>
      <c r="D97" s="22"/>
      <c r="E97" s="22"/>
      <c r="F97" s="23"/>
      <c r="G97" s="23"/>
      <c r="H97" s="24"/>
      <c r="I97" s="24"/>
      <c r="J97" s="24">
        <v>400</v>
      </c>
      <c r="K97" s="108" t="s">
        <v>27</v>
      </c>
    </row>
    <row r="98" spans="2:11" s="123" customFormat="1" ht="100.5" customHeight="1" thickTop="1" x14ac:dyDescent="0.2">
      <c r="B98" s="265" t="s">
        <v>502</v>
      </c>
      <c r="C98" s="266"/>
      <c r="D98" s="266"/>
      <c r="E98" s="266"/>
      <c r="F98" s="266"/>
      <c r="G98" s="266"/>
      <c r="H98" s="266"/>
      <c r="I98" s="266"/>
      <c r="J98" s="266"/>
      <c r="K98" s="266"/>
    </row>
    <row r="99" spans="2:11" s="123" customFormat="1" ht="15.75" thickBot="1" x14ac:dyDescent="0.25">
      <c r="B99" s="22" t="s">
        <v>186</v>
      </c>
      <c r="C99" s="22"/>
      <c r="D99" s="22"/>
      <c r="E99" s="22"/>
      <c r="F99" s="23"/>
      <c r="G99" s="23"/>
      <c r="H99" s="24"/>
      <c r="I99" s="24"/>
      <c r="J99" s="24">
        <v>100</v>
      </c>
      <c r="K99" s="108" t="s">
        <v>27</v>
      </c>
    </row>
    <row r="100" spans="2:11" s="123" customFormat="1" ht="67.5" customHeight="1" thickTop="1" x14ac:dyDescent="0.2">
      <c r="B100" s="265" t="s">
        <v>501</v>
      </c>
      <c r="C100" s="266"/>
      <c r="D100" s="266"/>
      <c r="E100" s="266"/>
      <c r="F100" s="266"/>
      <c r="G100" s="266"/>
      <c r="H100" s="266"/>
      <c r="I100" s="266"/>
      <c r="J100" s="266"/>
      <c r="K100" s="266"/>
    </row>
    <row r="101" spans="2:11" s="123" customFormat="1" ht="16.5" customHeight="1" x14ac:dyDescent="0.2">
      <c r="B101" s="191"/>
      <c r="C101" s="187"/>
      <c r="D101" s="187"/>
      <c r="E101" s="187"/>
      <c r="F101" s="187"/>
      <c r="G101" s="187"/>
      <c r="H101" s="187"/>
      <c r="I101" s="187"/>
      <c r="J101" s="187"/>
      <c r="K101" s="187"/>
    </row>
    <row r="102" spans="2:11" s="123" customFormat="1" ht="16.5" customHeight="1" x14ac:dyDescent="0.2">
      <c r="B102" s="191"/>
      <c r="C102" s="187"/>
      <c r="D102" s="187"/>
      <c r="E102" s="187"/>
      <c r="F102" s="187"/>
      <c r="G102" s="187"/>
      <c r="H102" s="187"/>
      <c r="I102" s="187"/>
      <c r="J102" s="187"/>
      <c r="K102" s="187"/>
    </row>
    <row r="103" spans="2:11" s="123" customFormat="1" ht="16.5" customHeight="1" x14ac:dyDescent="0.2">
      <c r="B103" s="191"/>
      <c r="C103" s="187"/>
      <c r="D103" s="187"/>
      <c r="E103" s="187"/>
      <c r="F103" s="187"/>
      <c r="G103" s="187"/>
      <c r="H103" s="187"/>
      <c r="I103" s="187"/>
      <c r="J103" s="187"/>
      <c r="K103" s="187"/>
    </row>
    <row r="104" spans="2:11" s="123" customFormat="1" ht="16.5" customHeight="1" x14ac:dyDescent="0.2">
      <c r="B104" s="191"/>
      <c r="C104" s="187"/>
      <c r="D104" s="187"/>
      <c r="E104" s="187"/>
      <c r="F104" s="187"/>
      <c r="G104" s="187"/>
      <c r="H104" s="187"/>
      <c r="I104" s="187"/>
      <c r="J104" s="187"/>
      <c r="K104" s="187"/>
    </row>
    <row r="105" spans="2:11" s="123" customFormat="1" ht="16.5" customHeight="1" x14ac:dyDescent="0.2">
      <c r="B105" s="191"/>
      <c r="C105" s="187"/>
      <c r="D105" s="187"/>
      <c r="E105" s="187"/>
      <c r="F105" s="187"/>
      <c r="G105" s="187"/>
      <c r="H105" s="187"/>
      <c r="I105" s="187"/>
      <c r="J105" s="187"/>
      <c r="K105" s="187"/>
    </row>
    <row r="106" spans="2:11" s="123" customFormat="1" ht="16.5" customHeight="1" x14ac:dyDescent="0.2">
      <c r="B106" s="191"/>
      <c r="C106" s="187"/>
      <c r="D106" s="187"/>
      <c r="E106" s="187"/>
      <c r="F106" s="187"/>
      <c r="G106" s="187"/>
      <c r="H106" s="187"/>
      <c r="I106" s="187"/>
      <c r="J106" s="187"/>
      <c r="K106" s="187"/>
    </row>
    <row r="107" spans="2:11" s="123" customFormat="1" ht="16.5" customHeight="1" x14ac:dyDescent="0.2">
      <c r="B107" s="191"/>
      <c r="C107" s="187"/>
      <c r="D107" s="187"/>
      <c r="E107" s="187"/>
      <c r="F107" s="187"/>
      <c r="G107" s="187"/>
      <c r="H107" s="187"/>
      <c r="I107" s="187"/>
      <c r="J107" s="187"/>
      <c r="K107" s="187"/>
    </row>
    <row r="108" spans="2:11" s="123" customFormat="1" ht="16.5" customHeight="1" x14ac:dyDescent="0.2">
      <c r="B108" s="191"/>
      <c r="C108" s="187"/>
      <c r="D108" s="187"/>
      <c r="E108" s="187"/>
      <c r="F108" s="187"/>
      <c r="G108" s="187"/>
      <c r="H108" s="187"/>
      <c r="I108" s="187"/>
      <c r="J108" s="187"/>
      <c r="K108" s="187"/>
    </row>
    <row r="109" spans="2:11" s="123" customFormat="1" ht="16.5" customHeight="1" x14ac:dyDescent="0.2">
      <c r="B109" s="191"/>
      <c r="C109" s="187"/>
      <c r="D109" s="187"/>
      <c r="E109" s="187"/>
      <c r="F109" s="187"/>
      <c r="G109" s="187"/>
      <c r="H109" s="187"/>
      <c r="I109" s="187"/>
      <c r="J109" s="187"/>
      <c r="K109" s="187"/>
    </row>
    <row r="110" spans="2:11" s="123" customFormat="1" ht="16.5" customHeight="1" x14ac:dyDescent="0.2">
      <c r="B110" s="191"/>
      <c r="C110" s="187"/>
      <c r="D110" s="187"/>
      <c r="E110" s="187"/>
      <c r="F110" s="187"/>
      <c r="G110" s="187"/>
      <c r="H110" s="187"/>
      <c r="I110" s="187"/>
      <c r="J110" s="187"/>
      <c r="K110" s="187"/>
    </row>
    <row r="111" spans="2:11" s="123" customFormat="1" ht="16.5" customHeight="1" x14ac:dyDescent="0.2">
      <c r="B111" s="191"/>
      <c r="C111" s="187"/>
      <c r="D111" s="187"/>
      <c r="E111" s="187"/>
      <c r="F111" s="187"/>
      <c r="G111" s="187"/>
      <c r="H111" s="187"/>
      <c r="I111" s="187"/>
      <c r="J111" s="187"/>
      <c r="K111" s="187"/>
    </row>
    <row r="112" spans="2:11" s="123" customFormat="1" ht="15.75" thickBot="1" x14ac:dyDescent="0.25">
      <c r="B112" s="22" t="s">
        <v>187</v>
      </c>
      <c r="C112" s="22"/>
      <c r="D112" s="22"/>
      <c r="E112" s="22"/>
      <c r="F112" s="23"/>
      <c r="G112" s="23"/>
      <c r="H112" s="24"/>
      <c r="I112" s="24"/>
      <c r="J112" s="24">
        <v>700</v>
      </c>
      <c r="K112" s="108" t="s">
        <v>27</v>
      </c>
    </row>
    <row r="113" spans="2:11" s="123" customFormat="1" ht="219.75" customHeight="1" thickTop="1" x14ac:dyDescent="0.2">
      <c r="B113" s="265" t="s">
        <v>676</v>
      </c>
      <c r="C113" s="266"/>
      <c r="D113" s="266"/>
      <c r="E113" s="266"/>
      <c r="F113" s="266"/>
      <c r="G113" s="266"/>
      <c r="H113" s="266"/>
      <c r="I113" s="266"/>
      <c r="J113" s="266"/>
      <c r="K113" s="266"/>
    </row>
    <row r="114" spans="2:11" s="123" customFormat="1" ht="15.75" thickBot="1" x14ac:dyDescent="0.25">
      <c r="B114" s="22" t="s">
        <v>188</v>
      </c>
      <c r="C114" s="22"/>
      <c r="D114" s="22"/>
      <c r="E114" s="22"/>
      <c r="F114" s="23"/>
      <c r="G114" s="23"/>
      <c r="H114" s="24"/>
      <c r="I114" s="24"/>
      <c r="J114" s="24">
        <v>450</v>
      </c>
      <c r="K114" s="108" t="s">
        <v>27</v>
      </c>
    </row>
    <row r="115" spans="2:11" s="123" customFormat="1" ht="143.25" customHeight="1" thickTop="1" x14ac:dyDescent="0.2">
      <c r="B115" s="265" t="s">
        <v>500</v>
      </c>
      <c r="C115" s="266"/>
      <c r="D115" s="266"/>
      <c r="E115" s="266"/>
      <c r="F115" s="266"/>
      <c r="G115" s="266"/>
      <c r="H115" s="266"/>
      <c r="I115" s="266"/>
      <c r="J115" s="266"/>
      <c r="K115" s="266"/>
    </row>
    <row r="116" spans="2:11" s="123" customFormat="1" ht="15.75" thickBot="1" x14ac:dyDescent="0.25">
      <c r="B116" s="22" t="s">
        <v>189</v>
      </c>
      <c r="C116" s="22"/>
      <c r="D116" s="22"/>
      <c r="E116" s="22"/>
      <c r="F116" s="23"/>
      <c r="G116" s="23"/>
      <c r="H116" s="24"/>
      <c r="I116" s="24"/>
      <c r="J116" s="24">
        <v>250</v>
      </c>
      <c r="K116" s="108" t="s">
        <v>27</v>
      </c>
    </row>
    <row r="117" spans="2:11" s="123" customFormat="1" ht="130.5" customHeight="1" thickTop="1" x14ac:dyDescent="0.2">
      <c r="B117" s="265" t="s">
        <v>499</v>
      </c>
      <c r="C117" s="266"/>
      <c r="D117" s="266"/>
      <c r="E117" s="266"/>
      <c r="F117" s="266"/>
      <c r="G117" s="266"/>
      <c r="H117" s="266"/>
      <c r="I117" s="266"/>
      <c r="J117" s="266"/>
      <c r="K117" s="266"/>
    </row>
    <row r="118" spans="2:11" s="123" customFormat="1" ht="15.75" thickBot="1" x14ac:dyDescent="0.25">
      <c r="B118" s="22" t="s">
        <v>190</v>
      </c>
      <c r="C118" s="22"/>
      <c r="D118" s="22"/>
      <c r="E118" s="22"/>
      <c r="F118" s="23"/>
      <c r="G118" s="23"/>
      <c r="H118" s="24"/>
      <c r="I118" s="24"/>
      <c r="J118" s="24">
        <v>200</v>
      </c>
      <c r="K118" s="108" t="s">
        <v>27</v>
      </c>
    </row>
    <row r="119" spans="2:11" s="123" customFormat="1" ht="41.25" customHeight="1" thickTop="1" x14ac:dyDescent="0.2">
      <c r="B119" s="269" t="s">
        <v>498</v>
      </c>
      <c r="C119" s="270"/>
      <c r="D119" s="270"/>
      <c r="E119" s="270"/>
      <c r="F119" s="270"/>
      <c r="G119" s="270"/>
      <c r="H119" s="270"/>
      <c r="I119" s="270"/>
      <c r="J119" s="270"/>
      <c r="K119" s="270"/>
    </row>
    <row r="120" spans="2:11" s="123" customFormat="1" ht="15.75" thickBot="1" x14ac:dyDescent="0.25">
      <c r="B120" s="22" t="s">
        <v>191</v>
      </c>
      <c r="C120" s="22"/>
      <c r="D120" s="22"/>
      <c r="E120" s="22"/>
      <c r="F120" s="23"/>
      <c r="G120" s="23"/>
      <c r="H120" s="24"/>
      <c r="I120" s="24"/>
      <c r="J120" s="24">
        <v>3000</v>
      </c>
      <c r="K120" s="108" t="s">
        <v>27</v>
      </c>
    </row>
    <row r="121" spans="2:11" s="123" customFormat="1" ht="48.75" customHeight="1" thickTop="1" x14ac:dyDescent="0.2">
      <c r="B121" s="265" t="s">
        <v>497</v>
      </c>
      <c r="C121" s="266"/>
      <c r="D121" s="266"/>
      <c r="E121" s="266"/>
      <c r="F121" s="266"/>
      <c r="G121" s="266"/>
      <c r="H121" s="266"/>
      <c r="I121" s="266"/>
      <c r="J121" s="266"/>
      <c r="K121" s="266"/>
    </row>
    <row r="122" spans="2:11" s="123" customFormat="1" ht="15.75" thickBot="1" x14ac:dyDescent="0.25">
      <c r="B122" s="22" t="s">
        <v>192</v>
      </c>
      <c r="C122" s="22"/>
      <c r="D122" s="22"/>
      <c r="E122" s="22"/>
      <c r="F122" s="23"/>
      <c r="G122" s="23"/>
      <c r="H122" s="24"/>
      <c r="I122" s="24"/>
      <c r="J122" s="24">
        <v>380</v>
      </c>
      <c r="K122" s="108" t="s">
        <v>27</v>
      </c>
    </row>
    <row r="123" spans="2:11" s="123" customFormat="1" ht="160.5" customHeight="1" thickTop="1" x14ac:dyDescent="0.2">
      <c r="B123" s="265" t="s">
        <v>496</v>
      </c>
      <c r="C123" s="266"/>
      <c r="D123" s="266"/>
      <c r="E123" s="266"/>
      <c r="F123" s="266"/>
      <c r="G123" s="266"/>
      <c r="H123" s="266"/>
      <c r="I123" s="266"/>
      <c r="J123" s="266"/>
      <c r="K123" s="266"/>
    </row>
    <row r="124" spans="2:11" s="123" customFormat="1" ht="15.75" thickBot="1" x14ac:dyDescent="0.25">
      <c r="B124" s="22" t="s">
        <v>193</v>
      </c>
      <c r="C124" s="22"/>
      <c r="D124" s="22"/>
      <c r="E124" s="22"/>
      <c r="F124" s="23"/>
      <c r="G124" s="23"/>
      <c r="H124" s="24"/>
      <c r="I124" s="24"/>
      <c r="J124" s="24">
        <v>20</v>
      </c>
      <c r="K124" s="108" t="s">
        <v>27</v>
      </c>
    </row>
    <row r="125" spans="2:11" s="123" customFormat="1" ht="56.25" customHeight="1" thickTop="1" x14ac:dyDescent="0.2">
      <c r="B125" s="265" t="s">
        <v>426</v>
      </c>
      <c r="C125" s="266"/>
      <c r="D125" s="266"/>
      <c r="E125" s="266"/>
      <c r="F125" s="266"/>
      <c r="G125" s="266"/>
      <c r="H125" s="266"/>
      <c r="I125" s="266"/>
      <c r="J125" s="266"/>
      <c r="K125" s="266"/>
    </row>
    <row r="126" spans="2:11" s="123" customFormat="1" ht="14.25" x14ac:dyDescent="0.2">
      <c r="K126" s="186"/>
    </row>
    <row r="127" spans="2:11" s="123" customFormat="1" ht="14.25" x14ac:dyDescent="0.2">
      <c r="K127" s="186"/>
    </row>
    <row r="128" spans="2:11" s="123" customFormat="1" ht="14.25" x14ac:dyDescent="0.2">
      <c r="K128" s="186"/>
    </row>
    <row r="129" spans="11:11" s="123" customFormat="1" ht="14.25" x14ac:dyDescent="0.2">
      <c r="K129" s="186"/>
    </row>
    <row r="130" spans="11:11" s="123" customFormat="1" ht="14.25" x14ac:dyDescent="0.2">
      <c r="K130" s="186"/>
    </row>
    <row r="131" spans="11:11" s="123" customFormat="1" ht="14.25" x14ac:dyDescent="0.2">
      <c r="K131" s="186"/>
    </row>
    <row r="132" spans="11:11" s="123" customFormat="1" ht="14.25" x14ac:dyDescent="0.2">
      <c r="K132" s="186"/>
    </row>
    <row r="133" spans="11:11" s="123" customFormat="1" ht="14.25" x14ac:dyDescent="0.2">
      <c r="K133" s="186"/>
    </row>
    <row r="134" spans="11:11" s="123" customFormat="1" ht="14.25" x14ac:dyDescent="0.2">
      <c r="K134" s="186"/>
    </row>
    <row r="135" spans="11:11" s="123" customFormat="1" ht="14.25" x14ac:dyDescent="0.2">
      <c r="K135" s="186"/>
    </row>
  </sheetData>
  <mergeCells count="29">
    <mergeCell ref="B78:K78"/>
    <mergeCell ref="B79:K79"/>
    <mergeCell ref="B88:K88"/>
    <mergeCell ref="F16:J16"/>
    <mergeCell ref="F27:J27"/>
    <mergeCell ref="F31:J31"/>
    <mergeCell ref="B72:H72"/>
    <mergeCell ref="B69:K69"/>
    <mergeCell ref="B71:K71"/>
    <mergeCell ref="B74:K74"/>
    <mergeCell ref="B76:K76"/>
    <mergeCell ref="B125:K125"/>
    <mergeCell ref="B94:K94"/>
    <mergeCell ref="B91:K91"/>
    <mergeCell ref="B96:K96"/>
    <mergeCell ref="B98:K98"/>
    <mergeCell ref="B100:K100"/>
    <mergeCell ref="B113:K113"/>
    <mergeCell ref="B115:K115"/>
    <mergeCell ref="B117:K117"/>
    <mergeCell ref="B119:K119"/>
    <mergeCell ref="B121:K121"/>
    <mergeCell ref="B123:K123"/>
    <mergeCell ref="B92:H92"/>
    <mergeCell ref="B2:F2"/>
    <mergeCell ref="B61:K61"/>
    <mergeCell ref="B63:K63"/>
    <mergeCell ref="B65:K65"/>
    <mergeCell ref="B67:K67"/>
  </mergeCells>
  <pageMargins left="0.70866141732283472" right="0.70866141732283472" top="0.78740157480314965" bottom="0.78740157480314965" header="0.31496062992125984" footer="0.31496062992125984"/>
  <pageSetup paperSize="9" scale="74" firstPageNumber="51" fitToHeight="9999" orientation="portrait" useFirstPageNumber="1" r:id="rId1"/>
  <headerFooter>
    <oddFooter>&amp;L&amp;"Arial CE,Kurzíva"Zastupitelstvo Olomouckého kraje 16-12-2011
6. - Rozpočet Olomouckého kraje 2012 - návrh rozpočtu 
Příloha č. 3a): Výdaje odborů (kanceláří)&amp;R&amp;"Arial CE,Kurzíva"Strana &amp;P (celkem 167)</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pageSetUpPr fitToPage="1"/>
  </sheetPr>
  <dimension ref="B2:K164"/>
  <sheetViews>
    <sheetView showGridLines="0" view="pageBreakPreview" topLeftCell="A61" zoomScaleNormal="100" zoomScaleSheetLayoutView="100" workbookViewId="0">
      <selection activeCell="B121" sqref="B121:K121"/>
    </sheetView>
  </sheetViews>
  <sheetFormatPr defaultRowHeight="12.75" x14ac:dyDescent="0.2"/>
  <cols>
    <col min="1" max="1" width="0.85546875" customWidth="1"/>
    <col min="2" max="3" width="4.7109375" customWidth="1"/>
    <col min="4" max="4" width="9.7109375" customWidth="1"/>
    <col min="5" max="5" width="11.7109375" customWidth="1"/>
    <col min="6" max="6" width="37.7109375" customWidth="1"/>
    <col min="7" max="7" width="10.7109375" style="76" customWidth="1"/>
    <col min="8" max="10" width="10.7109375" customWidth="1"/>
    <col min="11" max="11" width="7.7109375" style="107" customWidth="1"/>
  </cols>
  <sheetData>
    <row r="2" spans="2:11" ht="36.950000000000003" customHeight="1" x14ac:dyDescent="0.2">
      <c r="B2" s="267" t="s">
        <v>138</v>
      </c>
      <c r="C2" s="268"/>
      <c r="D2" s="268"/>
      <c r="E2" s="268"/>
      <c r="F2" s="268"/>
      <c r="G2" s="69"/>
      <c r="H2" s="3"/>
      <c r="I2" s="3"/>
      <c r="J2" s="3"/>
      <c r="K2" s="98" t="s">
        <v>139</v>
      </c>
    </row>
    <row r="5" spans="2:11" s="123" customFormat="1" ht="15" x14ac:dyDescent="0.2">
      <c r="B5" s="188" t="s">
        <v>0</v>
      </c>
      <c r="C5" s="188"/>
      <c r="D5" s="188" t="s">
        <v>140</v>
      </c>
      <c r="E5" s="189"/>
      <c r="F5" s="189"/>
      <c r="G5" s="196"/>
      <c r="H5" s="189"/>
      <c r="I5" s="189"/>
      <c r="J5" s="189"/>
      <c r="K5" s="190"/>
    </row>
    <row r="6" spans="2:11" s="123" customFormat="1" ht="15" x14ac:dyDescent="0.2">
      <c r="B6" s="188"/>
      <c r="C6" s="188"/>
      <c r="D6" s="188" t="s">
        <v>33</v>
      </c>
      <c r="E6" s="189"/>
      <c r="F6" s="189"/>
      <c r="G6" s="196"/>
      <c r="H6" s="189"/>
      <c r="I6" s="189"/>
      <c r="J6" s="189"/>
      <c r="K6" s="190"/>
    </row>
    <row r="7" spans="2:11" ht="13.5" thickBot="1" x14ac:dyDescent="0.25">
      <c r="B7" s="5"/>
      <c r="C7" s="5"/>
      <c r="D7" s="5"/>
      <c r="E7" s="5"/>
      <c r="F7" s="5"/>
      <c r="G7" s="70"/>
      <c r="H7" s="5"/>
      <c r="I7" s="5"/>
      <c r="J7" s="5"/>
      <c r="K7" s="99" t="s">
        <v>3</v>
      </c>
    </row>
    <row r="8" spans="2:11" ht="35.1" customHeight="1" x14ac:dyDescent="0.2">
      <c r="B8" s="7" t="s">
        <v>4</v>
      </c>
      <c r="C8" s="8" t="s">
        <v>5</v>
      </c>
      <c r="D8" s="8" t="s">
        <v>6</v>
      </c>
      <c r="E8" s="8" t="s">
        <v>7</v>
      </c>
      <c r="F8" s="6" t="s">
        <v>8</v>
      </c>
      <c r="G8" s="71" t="s">
        <v>9</v>
      </c>
      <c r="H8" s="6" t="s">
        <v>10</v>
      </c>
      <c r="I8" s="6" t="s">
        <v>11</v>
      </c>
      <c r="J8" s="6" t="s">
        <v>12</v>
      </c>
      <c r="K8" s="100" t="s">
        <v>13</v>
      </c>
    </row>
    <row r="9" spans="2:11" ht="13.5" thickBot="1" x14ac:dyDescent="0.25">
      <c r="B9" s="10">
        <v>1</v>
      </c>
      <c r="C9" s="11">
        <v>2</v>
      </c>
      <c r="D9" s="11">
        <v>3</v>
      </c>
      <c r="E9" s="11">
        <v>4</v>
      </c>
      <c r="F9" s="12">
        <v>5</v>
      </c>
      <c r="G9" s="72">
        <v>6</v>
      </c>
      <c r="H9" s="12">
        <v>7</v>
      </c>
      <c r="I9" s="12">
        <v>8</v>
      </c>
      <c r="J9" s="12">
        <v>9</v>
      </c>
      <c r="K9" s="101" t="s">
        <v>14</v>
      </c>
    </row>
    <row r="10" spans="2:11" ht="15" x14ac:dyDescent="0.2">
      <c r="B10" s="82">
        <v>3269</v>
      </c>
      <c r="C10" s="83">
        <v>5019</v>
      </c>
      <c r="D10" s="83">
        <v>0</v>
      </c>
      <c r="E10" s="83">
        <v>20000000000</v>
      </c>
      <c r="F10" s="84" t="s">
        <v>142</v>
      </c>
      <c r="G10" s="158">
        <v>8</v>
      </c>
      <c r="H10" s="85">
        <v>8</v>
      </c>
      <c r="I10" s="85">
        <v>0</v>
      </c>
      <c r="J10" s="85">
        <v>8</v>
      </c>
      <c r="K10" s="103">
        <f>J10/G10*100</f>
        <v>100</v>
      </c>
    </row>
    <row r="11" spans="2:11" ht="25.5" x14ac:dyDescent="0.2">
      <c r="B11" s="82">
        <v>3269</v>
      </c>
      <c r="C11" s="83">
        <v>5039</v>
      </c>
      <c r="D11" s="83">
        <v>0</v>
      </c>
      <c r="E11" s="83">
        <v>20000000000</v>
      </c>
      <c r="F11" s="84" t="s">
        <v>143</v>
      </c>
      <c r="G11" s="158">
        <v>2</v>
      </c>
      <c r="H11" s="85">
        <v>2</v>
      </c>
      <c r="I11" s="85">
        <v>0</v>
      </c>
      <c r="J11" s="85">
        <v>2</v>
      </c>
      <c r="K11" s="103">
        <f t="shared" ref="K11:K81" si="0">J11/G11*100</f>
        <v>100</v>
      </c>
    </row>
    <row r="12" spans="2:11" ht="15" x14ac:dyDescent="0.2">
      <c r="B12" s="82">
        <v>3269</v>
      </c>
      <c r="C12" s="83">
        <v>5139</v>
      </c>
      <c r="D12" s="83">
        <v>0</v>
      </c>
      <c r="E12" s="83">
        <v>20000000000</v>
      </c>
      <c r="F12" s="84" t="s">
        <v>18</v>
      </c>
      <c r="G12" s="158">
        <v>35</v>
      </c>
      <c r="H12" s="85">
        <f>11388/100</f>
        <v>113.88</v>
      </c>
      <c r="I12" s="85">
        <f>9259/100</f>
        <v>92.59</v>
      </c>
      <c r="J12" s="85">
        <v>35</v>
      </c>
      <c r="K12" s="103">
        <f t="shared" si="0"/>
        <v>100</v>
      </c>
    </row>
    <row r="13" spans="2:11" ht="25.5" x14ac:dyDescent="0.2">
      <c r="B13" s="82">
        <v>3269</v>
      </c>
      <c r="C13" s="83">
        <v>5162</v>
      </c>
      <c r="D13" s="83">
        <v>0</v>
      </c>
      <c r="E13" s="83">
        <v>20000000000</v>
      </c>
      <c r="F13" s="84" t="s">
        <v>41</v>
      </c>
      <c r="G13" s="158">
        <v>5</v>
      </c>
      <c r="H13" s="85">
        <v>5</v>
      </c>
      <c r="I13" s="85">
        <v>0</v>
      </c>
      <c r="J13" s="85">
        <v>5</v>
      </c>
      <c r="K13" s="103">
        <f t="shared" si="0"/>
        <v>100</v>
      </c>
    </row>
    <row r="14" spans="2:11" ht="15" x14ac:dyDescent="0.2">
      <c r="B14" s="82">
        <v>3269</v>
      </c>
      <c r="C14" s="83">
        <v>5164</v>
      </c>
      <c r="D14" s="83">
        <v>0</v>
      </c>
      <c r="E14" s="83">
        <v>20000000000</v>
      </c>
      <c r="F14" s="84" t="s">
        <v>20</v>
      </c>
      <c r="G14" s="158">
        <v>64</v>
      </c>
      <c r="H14" s="85">
        <f>7769/100</f>
        <v>77.69</v>
      </c>
      <c r="I14" s="85">
        <f>2720/100</f>
        <v>27.2</v>
      </c>
      <c r="J14" s="85">
        <v>64</v>
      </c>
      <c r="K14" s="103">
        <f t="shared" si="0"/>
        <v>100</v>
      </c>
    </row>
    <row r="15" spans="2:11" ht="25.5" x14ac:dyDescent="0.2">
      <c r="B15" s="82">
        <v>3269</v>
      </c>
      <c r="C15" s="83">
        <v>5166</v>
      </c>
      <c r="D15" s="83">
        <v>0</v>
      </c>
      <c r="E15" s="83">
        <v>20000000000</v>
      </c>
      <c r="F15" s="84" t="s">
        <v>42</v>
      </c>
      <c r="G15" s="158">
        <v>11945</v>
      </c>
      <c r="H15" s="85">
        <v>0</v>
      </c>
      <c r="I15" s="85">
        <v>0</v>
      </c>
      <c r="J15" s="85">
        <v>0</v>
      </c>
      <c r="K15" s="103">
        <f t="shared" si="0"/>
        <v>0</v>
      </c>
    </row>
    <row r="16" spans="2:11" ht="15" x14ac:dyDescent="0.2">
      <c r="B16" s="82">
        <v>3269</v>
      </c>
      <c r="C16" s="83">
        <v>5169</v>
      </c>
      <c r="D16" s="83">
        <v>0</v>
      </c>
      <c r="E16" s="83">
        <v>20000000000</v>
      </c>
      <c r="F16" s="84" t="s">
        <v>15</v>
      </c>
      <c r="G16" s="158">
        <v>2550</v>
      </c>
      <c r="H16" s="85">
        <f>2102212/100</f>
        <v>21022.12</v>
      </c>
      <c r="I16" s="85">
        <f>1642376/100</f>
        <v>16423.759999999998</v>
      </c>
      <c r="J16" s="85">
        <v>14100</v>
      </c>
      <c r="K16" s="103">
        <f t="shared" si="0"/>
        <v>552.94117647058818</v>
      </c>
    </row>
    <row r="17" spans="2:11" ht="15" x14ac:dyDescent="0.2">
      <c r="B17" s="82">
        <v>3269</v>
      </c>
      <c r="C17" s="83">
        <v>5175</v>
      </c>
      <c r="D17" s="83">
        <v>0</v>
      </c>
      <c r="E17" s="83">
        <v>20000000000</v>
      </c>
      <c r="F17" s="84" t="s">
        <v>21</v>
      </c>
      <c r="G17" s="158">
        <v>85</v>
      </c>
      <c r="H17" s="85">
        <v>105</v>
      </c>
      <c r="I17" s="85">
        <f>8278/100</f>
        <v>82.78</v>
      </c>
      <c r="J17" s="85">
        <v>80</v>
      </c>
      <c r="K17" s="103">
        <f t="shared" si="0"/>
        <v>94.117647058823522</v>
      </c>
    </row>
    <row r="18" spans="2:11" ht="15" x14ac:dyDescent="0.2">
      <c r="B18" s="82">
        <v>3269</v>
      </c>
      <c r="C18" s="83">
        <v>5194</v>
      </c>
      <c r="D18" s="83">
        <v>0</v>
      </c>
      <c r="E18" s="83">
        <v>20000000000</v>
      </c>
      <c r="F18" s="84" t="s">
        <v>24</v>
      </c>
      <c r="G18" s="158">
        <v>1130</v>
      </c>
      <c r="H18" s="85">
        <f>126931/100</f>
        <v>1269.31</v>
      </c>
      <c r="I18" s="85">
        <f>124099/100</f>
        <v>1240.99</v>
      </c>
      <c r="J18" s="85">
        <v>500</v>
      </c>
      <c r="K18" s="103">
        <f t="shared" si="0"/>
        <v>44.247787610619469</v>
      </c>
    </row>
    <row r="19" spans="2:11" ht="25.5" x14ac:dyDescent="0.2">
      <c r="B19" s="82">
        <v>3269</v>
      </c>
      <c r="C19" s="83">
        <v>5499</v>
      </c>
      <c r="D19" s="83">
        <v>0</v>
      </c>
      <c r="E19" s="83">
        <v>30102000000</v>
      </c>
      <c r="F19" s="84" t="s">
        <v>16</v>
      </c>
      <c r="G19" s="158">
        <v>35</v>
      </c>
      <c r="H19" s="85">
        <v>35</v>
      </c>
      <c r="I19" s="85">
        <f>1561/100</f>
        <v>15.61</v>
      </c>
      <c r="J19" s="85">
        <v>35</v>
      </c>
      <c r="K19" s="103">
        <f t="shared" si="0"/>
        <v>100</v>
      </c>
    </row>
    <row r="20" spans="2:11" ht="25.5" x14ac:dyDescent="0.2">
      <c r="B20" s="82">
        <v>3299</v>
      </c>
      <c r="C20" s="83">
        <v>5213</v>
      </c>
      <c r="D20" s="83">
        <v>0</v>
      </c>
      <c r="E20" s="83">
        <v>30102000000</v>
      </c>
      <c r="F20" s="172" t="s">
        <v>88</v>
      </c>
      <c r="G20" s="173">
        <v>0</v>
      </c>
      <c r="H20" s="173">
        <v>0</v>
      </c>
      <c r="I20" s="173">
        <v>0</v>
      </c>
      <c r="J20" s="173">
        <v>0</v>
      </c>
      <c r="K20" s="103">
        <v>0</v>
      </c>
    </row>
    <row r="21" spans="2:11" ht="15" x14ac:dyDescent="0.2">
      <c r="B21" s="82">
        <v>3299</v>
      </c>
      <c r="C21" s="83">
        <v>5331</v>
      </c>
      <c r="D21" s="83">
        <v>16</v>
      </c>
      <c r="E21" s="83">
        <v>30001000000</v>
      </c>
      <c r="F21" s="172" t="s">
        <v>452</v>
      </c>
      <c r="G21" s="233"/>
      <c r="H21" s="234"/>
      <c r="I21" s="233"/>
      <c r="J21" s="234">
        <v>0</v>
      </c>
      <c r="K21" s="103"/>
    </row>
    <row r="22" spans="2:11" ht="25.5" x14ac:dyDescent="0.2">
      <c r="B22" s="82">
        <v>3419</v>
      </c>
      <c r="C22" s="83">
        <v>5213</v>
      </c>
      <c r="D22" s="83">
        <v>16</v>
      </c>
      <c r="E22" s="83">
        <v>30102000000</v>
      </c>
      <c r="F22" s="172" t="s">
        <v>88</v>
      </c>
      <c r="G22" s="173">
        <v>2000</v>
      </c>
      <c r="H22" s="173">
        <v>0</v>
      </c>
      <c r="I22" s="173">
        <v>0</v>
      </c>
      <c r="J22" s="173">
        <v>0</v>
      </c>
      <c r="K22" s="103">
        <f>J22/G22*100</f>
        <v>0</v>
      </c>
    </row>
    <row r="23" spans="2:11" ht="25.5" x14ac:dyDescent="0.2">
      <c r="B23" s="82">
        <v>3419</v>
      </c>
      <c r="C23" s="83">
        <v>5222</v>
      </c>
      <c r="D23" s="83">
        <v>16</v>
      </c>
      <c r="E23" s="83">
        <v>30101000000</v>
      </c>
      <c r="F23" s="172" t="s">
        <v>83</v>
      </c>
      <c r="G23" s="173">
        <v>0</v>
      </c>
      <c r="H23" s="173">
        <v>100</v>
      </c>
      <c r="I23" s="173">
        <v>100</v>
      </c>
      <c r="J23" s="173">
        <v>0</v>
      </c>
      <c r="K23" s="103">
        <v>0</v>
      </c>
    </row>
    <row r="24" spans="2:11" ht="25.5" x14ac:dyDescent="0.2">
      <c r="B24" s="82">
        <v>3419</v>
      </c>
      <c r="C24" s="83">
        <v>5229</v>
      </c>
      <c r="D24" s="83">
        <v>16</v>
      </c>
      <c r="E24" s="83">
        <v>30101000000</v>
      </c>
      <c r="F24" s="172" t="s">
        <v>86</v>
      </c>
      <c r="G24" s="173">
        <v>150</v>
      </c>
      <c r="H24" s="173">
        <v>150</v>
      </c>
      <c r="I24" s="173">
        <v>150</v>
      </c>
      <c r="J24" s="173">
        <v>200</v>
      </c>
      <c r="K24" s="103">
        <f>J24/G24*100</f>
        <v>133.33333333333331</v>
      </c>
    </row>
    <row r="25" spans="2:11" ht="25.5" x14ac:dyDescent="0.2">
      <c r="B25" s="82">
        <v>3429</v>
      </c>
      <c r="C25" s="83">
        <v>5222</v>
      </c>
      <c r="D25" s="83">
        <v>16</v>
      </c>
      <c r="E25" s="83"/>
      <c r="F25" s="172" t="s">
        <v>83</v>
      </c>
      <c r="G25" s="173">
        <v>0</v>
      </c>
      <c r="H25" s="173">
        <v>1000</v>
      </c>
      <c r="I25" s="173">
        <v>1000</v>
      </c>
      <c r="J25" s="173">
        <v>0</v>
      </c>
      <c r="K25" s="103">
        <v>0</v>
      </c>
    </row>
    <row r="26" spans="2:11" ht="15" x14ac:dyDescent="0.2">
      <c r="B26" s="82"/>
      <c r="C26" s="83"/>
      <c r="D26" s="83"/>
      <c r="E26" s="83"/>
      <c r="F26" s="301" t="s">
        <v>555</v>
      </c>
      <c r="G26" s="302"/>
      <c r="H26" s="302"/>
      <c r="I26" s="303"/>
      <c r="J26" s="304"/>
      <c r="K26" s="103"/>
    </row>
    <row r="27" spans="2:11" ht="25.5" x14ac:dyDescent="0.2">
      <c r="B27" s="82">
        <v>3269</v>
      </c>
      <c r="C27" s="83">
        <v>5493</v>
      </c>
      <c r="D27" s="83">
        <v>114</v>
      </c>
      <c r="E27" s="83">
        <v>30102000000</v>
      </c>
      <c r="F27" s="172" t="s">
        <v>107</v>
      </c>
      <c r="G27" s="173">
        <v>400</v>
      </c>
      <c r="H27" s="173">
        <v>400</v>
      </c>
      <c r="I27" s="173">
        <v>0</v>
      </c>
      <c r="J27" s="173">
        <v>400</v>
      </c>
      <c r="K27" s="103">
        <f>J27/G27*100</f>
        <v>100</v>
      </c>
    </row>
    <row r="28" spans="2:11" ht="14.25" x14ac:dyDescent="0.2">
      <c r="B28" s="82"/>
      <c r="C28" s="83"/>
      <c r="D28" s="83"/>
      <c r="E28" s="83"/>
      <c r="F28" s="84"/>
      <c r="G28" s="168">
        <f>SUM(G27)</f>
        <v>400</v>
      </c>
      <c r="H28" s="168">
        <f t="shared" ref="H28:J28" si="1">SUM(H27)</f>
        <v>400</v>
      </c>
      <c r="I28" s="168">
        <f t="shared" si="1"/>
        <v>0</v>
      </c>
      <c r="J28" s="168">
        <f t="shared" si="1"/>
        <v>400</v>
      </c>
      <c r="K28" s="104">
        <f>J28/G28*100</f>
        <v>100</v>
      </c>
    </row>
    <row r="29" spans="2:11" ht="15" x14ac:dyDescent="0.2">
      <c r="B29" s="82"/>
      <c r="C29" s="83"/>
      <c r="D29" s="83"/>
      <c r="E29" s="83"/>
      <c r="F29" s="276" t="s">
        <v>560</v>
      </c>
      <c r="G29" s="277"/>
      <c r="H29" s="277"/>
      <c r="I29" s="278"/>
      <c r="J29" s="279"/>
      <c r="K29" s="103"/>
    </row>
    <row r="30" spans="2:11" ht="15" x14ac:dyDescent="0.2">
      <c r="B30" s="82">
        <v>3299</v>
      </c>
      <c r="C30" s="83">
        <v>5331</v>
      </c>
      <c r="D30" s="83">
        <v>103</v>
      </c>
      <c r="E30" s="83"/>
      <c r="F30" s="84" t="s">
        <v>452</v>
      </c>
      <c r="G30" s="158">
        <v>1100</v>
      </c>
      <c r="H30" s="85">
        <v>700</v>
      </c>
      <c r="I30" s="85">
        <v>0</v>
      </c>
      <c r="J30" s="85">
        <v>0</v>
      </c>
      <c r="K30" s="103">
        <f t="shared" si="0"/>
        <v>0</v>
      </c>
    </row>
    <row r="31" spans="2:11" ht="14.25" x14ac:dyDescent="0.2">
      <c r="B31" s="82"/>
      <c r="C31" s="83"/>
      <c r="D31" s="83"/>
      <c r="E31" s="83"/>
      <c r="F31" s="84"/>
      <c r="G31" s="169">
        <f>SUM(G30)</f>
        <v>1100</v>
      </c>
      <c r="H31" s="169">
        <f t="shared" ref="H31:J31" si="2">SUM(H30)</f>
        <v>700</v>
      </c>
      <c r="I31" s="169">
        <f t="shared" si="2"/>
        <v>0</v>
      </c>
      <c r="J31" s="169">
        <f t="shared" si="2"/>
        <v>0</v>
      </c>
      <c r="K31" s="104">
        <f t="shared" si="0"/>
        <v>0</v>
      </c>
    </row>
    <row r="32" spans="2:11" ht="15" x14ac:dyDescent="0.2">
      <c r="B32" s="82"/>
      <c r="C32" s="83"/>
      <c r="D32" s="83"/>
      <c r="E32" s="83"/>
      <c r="F32" s="276" t="s">
        <v>556</v>
      </c>
      <c r="G32" s="277"/>
      <c r="H32" s="277"/>
      <c r="I32" s="278"/>
      <c r="J32" s="279"/>
      <c r="K32" s="103"/>
    </row>
    <row r="33" spans="2:11" ht="15" x14ac:dyDescent="0.2">
      <c r="B33" s="82">
        <v>3299</v>
      </c>
      <c r="C33" s="83">
        <v>5331</v>
      </c>
      <c r="D33" s="83">
        <v>109</v>
      </c>
      <c r="E33" s="83"/>
      <c r="F33" s="172" t="s">
        <v>452</v>
      </c>
      <c r="G33" s="173">
        <v>150</v>
      </c>
      <c r="H33" s="173">
        <v>150</v>
      </c>
      <c r="I33" s="173">
        <v>148</v>
      </c>
      <c r="J33" s="173">
        <v>150</v>
      </c>
      <c r="K33" s="103">
        <f t="shared" si="0"/>
        <v>100</v>
      </c>
    </row>
    <row r="34" spans="2:11" ht="14.25" x14ac:dyDescent="0.2">
      <c r="B34" s="82"/>
      <c r="C34" s="83"/>
      <c r="D34" s="83"/>
      <c r="E34" s="83"/>
      <c r="F34" s="172"/>
      <c r="G34" s="213">
        <f>SUM(G33)</f>
        <v>150</v>
      </c>
      <c r="H34" s="213">
        <f t="shared" ref="H34:J34" si="3">SUM(H33)</f>
        <v>150</v>
      </c>
      <c r="I34" s="213">
        <f t="shared" si="3"/>
        <v>148</v>
      </c>
      <c r="J34" s="213">
        <f t="shared" si="3"/>
        <v>150</v>
      </c>
      <c r="K34" s="104">
        <f t="shared" si="0"/>
        <v>100</v>
      </c>
    </row>
    <row r="35" spans="2:11" ht="14.25" x14ac:dyDescent="0.2">
      <c r="B35" s="82"/>
      <c r="C35" s="83"/>
      <c r="D35" s="83"/>
      <c r="E35" s="83"/>
      <c r="F35" s="301" t="s">
        <v>557</v>
      </c>
      <c r="G35" s="302"/>
      <c r="H35" s="302"/>
      <c r="I35" s="303"/>
      <c r="J35" s="304"/>
      <c r="K35" s="104"/>
    </row>
    <row r="36" spans="2:11" ht="15" x14ac:dyDescent="0.2">
      <c r="B36" s="82">
        <v>3299</v>
      </c>
      <c r="C36" s="83">
        <v>5331</v>
      </c>
      <c r="D36" s="83">
        <v>113</v>
      </c>
      <c r="E36" s="83"/>
      <c r="F36" s="172" t="s">
        <v>452</v>
      </c>
      <c r="G36" s="173">
        <v>100</v>
      </c>
      <c r="H36" s="173">
        <v>40</v>
      </c>
      <c r="I36" s="173">
        <v>0</v>
      </c>
      <c r="J36" s="173">
        <v>50</v>
      </c>
      <c r="K36" s="103">
        <f t="shared" si="0"/>
        <v>50</v>
      </c>
    </row>
    <row r="37" spans="2:11" ht="14.25" x14ac:dyDescent="0.2">
      <c r="B37" s="82"/>
      <c r="C37" s="83"/>
      <c r="D37" s="83"/>
      <c r="E37" s="83"/>
      <c r="F37" s="172"/>
      <c r="G37" s="213">
        <f>SUM(G36)</f>
        <v>100</v>
      </c>
      <c r="H37" s="213">
        <f t="shared" ref="H37:J37" si="4">SUM(H36)</f>
        <v>40</v>
      </c>
      <c r="I37" s="213">
        <f t="shared" si="4"/>
        <v>0</v>
      </c>
      <c r="J37" s="213">
        <f t="shared" si="4"/>
        <v>50</v>
      </c>
      <c r="K37" s="104">
        <f t="shared" si="0"/>
        <v>50</v>
      </c>
    </row>
    <row r="38" spans="2:11" ht="14.25" x14ac:dyDescent="0.2">
      <c r="B38" s="82"/>
      <c r="C38" s="83"/>
      <c r="D38" s="83"/>
      <c r="E38" s="83"/>
      <c r="F38" s="301" t="s">
        <v>561</v>
      </c>
      <c r="G38" s="302"/>
      <c r="H38" s="302"/>
      <c r="I38" s="303"/>
      <c r="J38" s="304"/>
      <c r="K38" s="104"/>
    </row>
    <row r="39" spans="2:11" ht="15" x14ac:dyDescent="0.2">
      <c r="B39" s="82">
        <v>3299</v>
      </c>
      <c r="C39" s="83">
        <v>5331</v>
      </c>
      <c r="D39" s="83">
        <v>115</v>
      </c>
      <c r="E39" s="83"/>
      <c r="F39" s="172" t="s">
        <v>452</v>
      </c>
      <c r="G39" s="173">
        <v>4100</v>
      </c>
      <c r="H39" s="173">
        <v>4097</v>
      </c>
      <c r="I39" s="173">
        <v>0</v>
      </c>
      <c r="J39" s="173">
        <v>7100</v>
      </c>
      <c r="K39" s="103">
        <f t="shared" si="0"/>
        <v>173.17073170731706</v>
      </c>
    </row>
    <row r="40" spans="2:11" ht="25.5" x14ac:dyDescent="0.2">
      <c r="B40" s="82">
        <v>3123</v>
      </c>
      <c r="C40" s="83">
        <v>5213</v>
      </c>
      <c r="D40" s="83">
        <v>115</v>
      </c>
      <c r="E40" s="83"/>
      <c r="F40" s="172" t="s">
        <v>88</v>
      </c>
      <c r="G40" s="173">
        <v>0</v>
      </c>
      <c r="H40" s="173">
        <v>4</v>
      </c>
      <c r="I40" s="173">
        <v>4</v>
      </c>
      <c r="J40" s="173">
        <v>0</v>
      </c>
      <c r="K40" s="103">
        <v>0</v>
      </c>
    </row>
    <row r="41" spans="2:11" ht="14.25" x14ac:dyDescent="0.2">
      <c r="B41" s="82"/>
      <c r="C41" s="83"/>
      <c r="D41" s="83"/>
      <c r="E41" s="83"/>
      <c r="F41" s="172"/>
      <c r="G41" s="213">
        <f>SUM(G39:G40)</f>
        <v>4100</v>
      </c>
      <c r="H41" s="213">
        <f t="shared" ref="H41:J41" si="5">SUM(H39:H40)</f>
        <v>4101</v>
      </c>
      <c r="I41" s="213">
        <f t="shared" si="5"/>
        <v>4</v>
      </c>
      <c r="J41" s="213">
        <f t="shared" si="5"/>
        <v>7100</v>
      </c>
      <c r="K41" s="104">
        <v>0</v>
      </c>
    </row>
    <row r="42" spans="2:11" ht="14.25" x14ac:dyDescent="0.2">
      <c r="B42" s="82"/>
      <c r="C42" s="83"/>
      <c r="D42" s="83"/>
      <c r="E42" s="83"/>
      <c r="F42" s="301" t="s">
        <v>580</v>
      </c>
      <c r="G42" s="302"/>
      <c r="H42" s="302"/>
      <c r="I42" s="303"/>
      <c r="J42" s="304"/>
      <c r="K42" s="104"/>
    </row>
    <row r="43" spans="2:11" ht="25.5" x14ac:dyDescent="0.2">
      <c r="B43" s="82">
        <v>3299</v>
      </c>
      <c r="C43" s="83">
        <v>5339</v>
      </c>
      <c r="D43" s="83">
        <v>35</v>
      </c>
      <c r="E43" s="83">
        <v>30103000000</v>
      </c>
      <c r="F43" s="172" t="s">
        <v>85</v>
      </c>
      <c r="G43" s="173">
        <v>0</v>
      </c>
      <c r="H43" s="173">
        <v>0</v>
      </c>
      <c r="I43" s="173">
        <v>0</v>
      </c>
      <c r="J43" s="173">
        <v>1500</v>
      </c>
      <c r="K43" s="103">
        <v>0</v>
      </c>
    </row>
    <row r="44" spans="2:11" ht="25.5" x14ac:dyDescent="0.2">
      <c r="B44" s="82">
        <v>3299</v>
      </c>
      <c r="C44" s="83">
        <v>5493</v>
      </c>
      <c r="D44" s="83">
        <v>35</v>
      </c>
      <c r="E44" s="83">
        <v>30102000000</v>
      </c>
      <c r="F44" s="172" t="s">
        <v>107</v>
      </c>
      <c r="G44" s="173">
        <v>0</v>
      </c>
      <c r="H44" s="173">
        <v>0</v>
      </c>
      <c r="I44" s="173">
        <v>0</v>
      </c>
      <c r="J44" s="173">
        <v>500</v>
      </c>
      <c r="K44" s="103">
        <v>0</v>
      </c>
    </row>
    <row r="45" spans="2:11" ht="25.5" x14ac:dyDescent="0.2">
      <c r="B45" s="82">
        <v>3299</v>
      </c>
      <c r="C45" s="83">
        <v>6359</v>
      </c>
      <c r="D45" s="83">
        <v>116</v>
      </c>
      <c r="E45" s="83">
        <v>30103000000</v>
      </c>
      <c r="F45" s="172" t="s">
        <v>109</v>
      </c>
      <c r="G45" s="173">
        <v>0</v>
      </c>
      <c r="H45" s="173">
        <v>0</v>
      </c>
      <c r="I45" s="173">
        <v>0</v>
      </c>
      <c r="J45" s="173">
        <v>4500</v>
      </c>
      <c r="K45" s="103">
        <v>0</v>
      </c>
    </row>
    <row r="46" spans="2:11" ht="14.25" x14ac:dyDescent="0.2">
      <c r="B46" s="82"/>
      <c r="C46" s="83"/>
      <c r="D46" s="83"/>
      <c r="E46" s="83"/>
      <c r="F46" s="172"/>
      <c r="G46" s="213">
        <f>SUM(G43:G44)</f>
        <v>0</v>
      </c>
      <c r="H46" s="213">
        <f t="shared" ref="H46:I46" si="6">SUM(H43:H44)</f>
        <v>0</v>
      </c>
      <c r="I46" s="213">
        <f t="shared" si="6"/>
        <v>0</v>
      </c>
      <c r="J46" s="213">
        <f>SUM(J43:J45)</f>
        <v>6500</v>
      </c>
      <c r="K46" s="104">
        <v>0</v>
      </c>
    </row>
    <row r="47" spans="2:11" ht="15" x14ac:dyDescent="0.2">
      <c r="B47" s="82"/>
      <c r="C47" s="83"/>
      <c r="D47" s="83"/>
      <c r="E47" s="83"/>
      <c r="F47" s="301" t="s">
        <v>558</v>
      </c>
      <c r="G47" s="302"/>
      <c r="H47" s="302"/>
      <c r="I47" s="303"/>
      <c r="J47" s="304"/>
      <c r="K47" s="103"/>
    </row>
    <row r="48" spans="2:11" ht="25.5" x14ac:dyDescent="0.2">
      <c r="B48" s="82">
        <v>3299</v>
      </c>
      <c r="C48" s="83">
        <v>5493</v>
      </c>
      <c r="D48" s="83">
        <v>110</v>
      </c>
      <c r="E48" s="83">
        <v>30102000000</v>
      </c>
      <c r="F48" s="172" t="s">
        <v>107</v>
      </c>
      <c r="G48" s="173">
        <v>1800</v>
      </c>
      <c r="H48" s="173">
        <v>1800</v>
      </c>
      <c r="I48" s="173">
        <f>157750/100</f>
        <v>1577.5</v>
      </c>
      <c r="J48" s="173">
        <v>1500</v>
      </c>
      <c r="K48" s="103">
        <f t="shared" si="0"/>
        <v>83.333333333333343</v>
      </c>
    </row>
    <row r="49" spans="2:11" ht="15" thickBot="1" x14ac:dyDescent="0.25">
      <c r="B49" s="92"/>
      <c r="C49" s="93"/>
      <c r="D49" s="93"/>
      <c r="E49" s="93"/>
      <c r="F49" s="94"/>
      <c r="G49" s="182">
        <f>SUM(G48)</f>
        <v>1800</v>
      </c>
      <c r="H49" s="182">
        <f t="shared" ref="H49:J49" si="7">SUM(H48)</f>
        <v>1800</v>
      </c>
      <c r="I49" s="182">
        <f t="shared" si="7"/>
        <v>1577.5</v>
      </c>
      <c r="J49" s="182">
        <f t="shared" si="7"/>
        <v>1500</v>
      </c>
      <c r="K49" s="183">
        <v>0</v>
      </c>
    </row>
    <row r="51" spans="2:11" ht="14.25" x14ac:dyDescent="0.2">
      <c r="B51" s="118"/>
      <c r="C51" s="118"/>
      <c r="D51" s="118"/>
      <c r="E51" s="118"/>
      <c r="F51" s="119"/>
      <c r="G51" s="169"/>
      <c r="H51" s="169"/>
      <c r="I51" s="169"/>
      <c r="J51" s="169"/>
      <c r="K51" s="184"/>
    </row>
    <row r="52" spans="2:11" ht="14.25" x14ac:dyDescent="0.2">
      <c r="B52" s="118"/>
      <c r="C52" s="118"/>
      <c r="D52" s="118"/>
      <c r="E52" s="118"/>
      <c r="F52" s="119"/>
      <c r="G52" s="169"/>
      <c r="H52" s="169"/>
      <c r="I52" s="169"/>
      <c r="J52" s="169"/>
      <c r="K52" s="184"/>
    </row>
    <row r="53" spans="2:11" ht="14.25" x14ac:dyDescent="0.2">
      <c r="B53" s="118"/>
      <c r="C53" s="118"/>
      <c r="D53" s="118"/>
      <c r="E53" s="118"/>
      <c r="F53" s="119"/>
      <c r="G53" s="169"/>
      <c r="H53" s="169"/>
      <c r="I53" s="169"/>
      <c r="J53" s="169"/>
      <c r="K53" s="184"/>
    </row>
    <row r="54" spans="2:11" ht="14.25" x14ac:dyDescent="0.2">
      <c r="B54" s="118"/>
      <c r="C54" s="118"/>
      <c r="D54" s="118"/>
      <c r="E54" s="118"/>
      <c r="F54" s="119"/>
      <c r="G54" s="169"/>
      <c r="H54" s="169"/>
      <c r="I54" s="169"/>
      <c r="J54" s="169"/>
      <c r="K54" s="184"/>
    </row>
    <row r="55" spans="2:11" ht="14.25" x14ac:dyDescent="0.2">
      <c r="B55" s="118"/>
      <c r="C55" s="118"/>
      <c r="D55" s="118"/>
      <c r="E55" s="118"/>
      <c r="F55" s="119"/>
      <c r="G55" s="169"/>
      <c r="H55" s="169"/>
      <c r="I55" s="169"/>
      <c r="J55" s="169"/>
      <c r="K55" s="184"/>
    </row>
    <row r="56" spans="2:11" ht="14.25" x14ac:dyDescent="0.2">
      <c r="B56" s="118"/>
      <c r="C56" s="118"/>
      <c r="D56" s="118"/>
      <c r="E56" s="118"/>
      <c r="F56" s="119"/>
      <c r="G56" s="169"/>
      <c r="H56" s="169"/>
      <c r="I56" s="169"/>
      <c r="J56" s="169"/>
      <c r="K56" s="184"/>
    </row>
    <row r="57" spans="2:11" ht="14.25" x14ac:dyDescent="0.2">
      <c r="B57" s="118"/>
      <c r="C57" s="118"/>
      <c r="D57" s="118"/>
      <c r="E57" s="118"/>
      <c r="F57" s="119"/>
      <c r="G57" s="169"/>
      <c r="H57" s="169"/>
      <c r="I57" s="169"/>
      <c r="J57" s="169"/>
      <c r="K57" s="184"/>
    </row>
    <row r="58" spans="2:11" ht="13.5" thickBot="1" x14ac:dyDescent="0.25">
      <c r="B58" s="5"/>
      <c r="C58" s="5"/>
      <c r="D58" s="5"/>
      <c r="E58" s="5"/>
      <c r="F58" s="5"/>
      <c r="G58" s="70"/>
      <c r="H58" s="5"/>
      <c r="I58" s="5"/>
      <c r="J58" s="5"/>
      <c r="K58" s="99" t="s">
        <v>3</v>
      </c>
    </row>
    <row r="59" spans="2:11" ht="35.1" customHeight="1" x14ac:dyDescent="0.2">
      <c r="B59" s="7" t="s">
        <v>4</v>
      </c>
      <c r="C59" s="8" t="s">
        <v>5</v>
      </c>
      <c r="D59" s="8" t="s">
        <v>6</v>
      </c>
      <c r="E59" s="8" t="s">
        <v>7</v>
      </c>
      <c r="F59" s="6" t="s">
        <v>8</v>
      </c>
      <c r="G59" s="71" t="s">
        <v>9</v>
      </c>
      <c r="H59" s="6" t="s">
        <v>10</v>
      </c>
      <c r="I59" s="6" t="s">
        <v>11</v>
      </c>
      <c r="J59" s="6" t="s">
        <v>12</v>
      </c>
      <c r="K59" s="100" t="s">
        <v>13</v>
      </c>
    </row>
    <row r="60" spans="2:11" ht="13.5" thickBot="1" x14ac:dyDescent="0.25">
      <c r="B60" s="10">
        <v>1</v>
      </c>
      <c r="C60" s="11">
        <v>2</v>
      </c>
      <c r="D60" s="11">
        <v>3</v>
      </c>
      <c r="E60" s="11">
        <v>4</v>
      </c>
      <c r="F60" s="12">
        <v>5</v>
      </c>
      <c r="G60" s="72">
        <v>6</v>
      </c>
      <c r="H60" s="12">
        <v>7</v>
      </c>
      <c r="I60" s="12">
        <v>8</v>
      </c>
      <c r="J60" s="12">
        <v>9</v>
      </c>
      <c r="K60" s="101" t="s">
        <v>14</v>
      </c>
    </row>
    <row r="61" spans="2:11" ht="15" x14ac:dyDescent="0.2">
      <c r="B61" s="82"/>
      <c r="C61" s="83"/>
      <c r="D61" s="83"/>
      <c r="E61" s="83"/>
      <c r="F61" s="276" t="s">
        <v>581</v>
      </c>
      <c r="G61" s="277"/>
      <c r="H61" s="277"/>
      <c r="I61" s="278"/>
      <c r="J61" s="279"/>
      <c r="K61" s="103"/>
    </row>
    <row r="62" spans="2:11" ht="25.5" x14ac:dyDescent="0.2">
      <c r="B62" s="82">
        <v>3299</v>
      </c>
      <c r="C62" s="83">
        <v>6359</v>
      </c>
      <c r="D62" s="83">
        <v>0</v>
      </c>
      <c r="E62" s="83">
        <v>30103000000</v>
      </c>
      <c r="F62" s="84" t="s">
        <v>109</v>
      </c>
      <c r="G62" s="158">
        <v>13500</v>
      </c>
      <c r="H62" s="85">
        <v>0</v>
      </c>
      <c r="I62" s="85">
        <v>0</v>
      </c>
      <c r="J62" s="85">
        <v>0</v>
      </c>
      <c r="K62" s="103">
        <f>J62/G62*100</f>
        <v>0</v>
      </c>
    </row>
    <row r="63" spans="2:11" ht="25.5" x14ac:dyDescent="0.2">
      <c r="B63" s="82">
        <v>3299</v>
      </c>
      <c r="C63" s="83">
        <v>5221</v>
      </c>
      <c r="D63" s="83">
        <v>16</v>
      </c>
      <c r="E63" s="83"/>
      <c r="F63" s="84" t="s">
        <v>83</v>
      </c>
      <c r="G63" s="158">
        <v>0</v>
      </c>
      <c r="H63" s="85">
        <v>3520</v>
      </c>
      <c r="I63" s="85">
        <v>3520</v>
      </c>
      <c r="J63" s="85">
        <v>0</v>
      </c>
      <c r="K63" s="103">
        <v>0</v>
      </c>
    </row>
    <row r="64" spans="2:11" ht="25.5" x14ac:dyDescent="0.2">
      <c r="B64" s="82">
        <v>3299</v>
      </c>
      <c r="C64" s="83">
        <v>5339</v>
      </c>
      <c r="D64" s="83">
        <v>16</v>
      </c>
      <c r="E64" s="83"/>
      <c r="F64" s="84" t="s">
        <v>85</v>
      </c>
      <c r="G64" s="158">
        <v>0</v>
      </c>
      <c r="H64" s="85">
        <v>2000</v>
      </c>
      <c r="I64" s="85">
        <v>2000</v>
      </c>
      <c r="J64" s="85">
        <v>0</v>
      </c>
      <c r="K64" s="103">
        <v>0</v>
      </c>
    </row>
    <row r="65" spans="2:11" ht="15" x14ac:dyDescent="0.2">
      <c r="B65" s="82">
        <v>3299</v>
      </c>
      <c r="C65" s="83">
        <v>6321</v>
      </c>
      <c r="D65" s="83">
        <v>116</v>
      </c>
      <c r="E65" s="83"/>
      <c r="F65" s="84" t="s">
        <v>387</v>
      </c>
      <c r="G65" s="158">
        <v>0</v>
      </c>
      <c r="H65" s="85">
        <v>980</v>
      </c>
      <c r="I65" s="85">
        <v>980</v>
      </c>
      <c r="J65" s="85">
        <v>0</v>
      </c>
      <c r="K65" s="103">
        <v>0</v>
      </c>
    </row>
    <row r="66" spans="2:11" ht="25.5" x14ac:dyDescent="0.2">
      <c r="B66" s="82">
        <v>3299</v>
      </c>
      <c r="C66" s="83">
        <v>6359</v>
      </c>
      <c r="D66" s="83">
        <v>116</v>
      </c>
      <c r="E66" s="83">
        <v>30103000000</v>
      </c>
      <c r="F66" s="172" t="s">
        <v>109</v>
      </c>
      <c r="G66" s="173">
        <v>0</v>
      </c>
      <c r="H66" s="173">
        <v>7000</v>
      </c>
      <c r="I66" s="173">
        <v>7000</v>
      </c>
      <c r="J66" s="173">
        <v>10500</v>
      </c>
      <c r="K66" s="103">
        <v>0</v>
      </c>
    </row>
    <row r="67" spans="2:11" ht="14.25" x14ac:dyDescent="0.2">
      <c r="B67" s="82"/>
      <c r="C67" s="83"/>
      <c r="D67" s="83"/>
      <c r="E67" s="83"/>
      <c r="F67" s="172"/>
      <c r="G67" s="213">
        <f>SUM(G62:G66)</f>
        <v>13500</v>
      </c>
      <c r="H67" s="213">
        <f>SUM(H62:H66)</f>
        <v>13500</v>
      </c>
      <c r="I67" s="213">
        <f>SUM(I62:I66)</f>
        <v>13500</v>
      </c>
      <c r="J67" s="213">
        <f>SUM(J62:J66)</f>
        <v>10500</v>
      </c>
      <c r="K67" s="104">
        <v>0</v>
      </c>
    </row>
    <row r="68" spans="2:11" ht="15" x14ac:dyDescent="0.2">
      <c r="B68" s="82"/>
      <c r="C68" s="83"/>
      <c r="D68" s="83"/>
      <c r="E68" s="83"/>
      <c r="F68" s="301" t="s">
        <v>582</v>
      </c>
      <c r="G68" s="302"/>
      <c r="H68" s="302"/>
      <c r="I68" s="303"/>
      <c r="J68" s="304"/>
      <c r="K68" s="103"/>
    </row>
    <row r="69" spans="2:11" ht="25.5" x14ac:dyDescent="0.2">
      <c r="B69" s="82">
        <v>3419</v>
      </c>
      <c r="C69" s="83">
        <v>5213</v>
      </c>
      <c r="D69" s="83">
        <v>105</v>
      </c>
      <c r="E69" s="83"/>
      <c r="F69" s="172" t="s">
        <v>88</v>
      </c>
      <c r="G69" s="173">
        <v>0</v>
      </c>
      <c r="H69" s="173">
        <v>2920</v>
      </c>
      <c r="I69" s="173">
        <v>2920</v>
      </c>
      <c r="J69" s="173">
        <v>0</v>
      </c>
      <c r="K69" s="103">
        <v>0</v>
      </c>
    </row>
    <row r="70" spans="2:11" ht="25.5" x14ac:dyDescent="0.2">
      <c r="B70" s="82">
        <v>3419</v>
      </c>
      <c r="C70" s="83">
        <v>5222</v>
      </c>
      <c r="D70" s="83">
        <v>105</v>
      </c>
      <c r="E70" s="83">
        <v>30101000000</v>
      </c>
      <c r="F70" s="172" t="s">
        <v>83</v>
      </c>
      <c r="G70" s="173">
        <v>37067</v>
      </c>
      <c r="H70" s="173">
        <v>34147</v>
      </c>
      <c r="I70" s="173">
        <v>34147</v>
      </c>
      <c r="J70" s="173">
        <v>37367</v>
      </c>
      <c r="K70" s="103">
        <f t="shared" si="0"/>
        <v>100.80934523970109</v>
      </c>
    </row>
    <row r="71" spans="2:11" ht="14.25" x14ac:dyDescent="0.2">
      <c r="B71" s="82"/>
      <c r="C71" s="83"/>
      <c r="D71" s="83"/>
      <c r="E71" s="83"/>
      <c r="F71" s="172"/>
      <c r="G71" s="213">
        <f>SUM(G69:G70)</f>
        <v>37067</v>
      </c>
      <c r="H71" s="213">
        <f t="shared" ref="H71:J71" si="8">SUM(H69:H70)</f>
        <v>37067</v>
      </c>
      <c r="I71" s="213">
        <f t="shared" si="8"/>
        <v>37067</v>
      </c>
      <c r="J71" s="213">
        <f t="shared" si="8"/>
        <v>37367</v>
      </c>
      <c r="K71" s="104">
        <v>0</v>
      </c>
    </row>
    <row r="72" spans="2:11" ht="15" x14ac:dyDescent="0.2">
      <c r="B72" s="82"/>
      <c r="C72" s="83"/>
      <c r="D72" s="83"/>
      <c r="E72" s="83"/>
      <c r="F72" s="301" t="s">
        <v>559</v>
      </c>
      <c r="G72" s="302"/>
      <c r="H72" s="302"/>
      <c r="I72" s="303"/>
      <c r="J72" s="304"/>
      <c r="K72" s="103"/>
    </row>
    <row r="73" spans="2:11" ht="15" x14ac:dyDescent="0.2">
      <c r="B73" s="82">
        <v>3792</v>
      </c>
      <c r="C73" s="83">
        <v>5139</v>
      </c>
      <c r="D73" s="83">
        <v>112</v>
      </c>
      <c r="E73" s="83">
        <v>20000000000</v>
      </c>
      <c r="F73" s="172" t="s">
        <v>18</v>
      </c>
      <c r="G73" s="173">
        <v>50</v>
      </c>
      <c r="H73" s="173">
        <v>50</v>
      </c>
      <c r="I73" s="173">
        <v>0</v>
      </c>
      <c r="J73" s="173">
        <v>0</v>
      </c>
      <c r="K73" s="103">
        <f t="shared" si="0"/>
        <v>0</v>
      </c>
    </row>
    <row r="74" spans="2:11" ht="15" x14ac:dyDescent="0.2">
      <c r="B74" s="82">
        <v>3792</v>
      </c>
      <c r="C74" s="83">
        <v>5164</v>
      </c>
      <c r="D74" s="83">
        <v>112</v>
      </c>
      <c r="E74" s="83">
        <v>20000000000</v>
      </c>
      <c r="F74" s="172" t="s">
        <v>20</v>
      </c>
      <c r="G74" s="173">
        <v>20</v>
      </c>
      <c r="H74" s="173">
        <v>20</v>
      </c>
      <c r="I74" s="173">
        <v>0</v>
      </c>
      <c r="J74" s="173">
        <v>20</v>
      </c>
      <c r="K74" s="103">
        <f t="shared" si="0"/>
        <v>100</v>
      </c>
    </row>
    <row r="75" spans="2:11" ht="15" x14ac:dyDescent="0.2">
      <c r="B75" s="82">
        <v>3792</v>
      </c>
      <c r="C75" s="83">
        <v>5169</v>
      </c>
      <c r="D75" s="83">
        <v>112</v>
      </c>
      <c r="E75" s="83">
        <v>20000000000</v>
      </c>
      <c r="F75" s="172" t="s">
        <v>15</v>
      </c>
      <c r="G75" s="173">
        <v>120</v>
      </c>
      <c r="H75" s="173">
        <f>10411/100</f>
        <v>104.11</v>
      </c>
      <c r="I75" s="173">
        <f>3079/100</f>
        <v>30.79</v>
      </c>
      <c r="J75" s="173">
        <v>120</v>
      </c>
      <c r="K75" s="103">
        <f t="shared" si="0"/>
        <v>100</v>
      </c>
    </row>
    <row r="76" spans="2:11" ht="15" x14ac:dyDescent="0.2">
      <c r="B76" s="82">
        <v>3792</v>
      </c>
      <c r="C76" s="83">
        <v>5175</v>
      </c>
      <c r="D76" s="83">
        <v>112</v>
      </c>
      <c r="E76" s="83">
        <v>20000000000</v>
      </c>
      <c r="F76" s="172" t="s">
        <v>21</v>
      </c>
      <c r="G76" s="173">
        <v>20</v>
      </c>
      <c r="H76" s="173">
        <v>20</v>
      </c>
      <c r="I76" s="173">
        <v>0</v>
      </c>
      <c r="J76" s="173">
        <v>20</v>
      </c>
      <c r="K76" s="103">
        <f t="shared" si="0"/>
        <v>100</v>
      </c>
    </row>
    <row r="77" spans="2:11" ht="25.5" x14ac:dyDescent="0.2">
      <c r="B77" s="82">
        <v>3792</v>
      </c>
      <c r="C77" s="83">
        <v>5221</v>
      </c>
      <c r="D77" s="83">
        <v>112</v>
      </c>
      <c r="E77" s="83"/>
      <c r="F77" s="172" t="s">
        <v>83</v>
      </c>
      <c r="G77" s="173">
        <v>0</v>
      </c>
      <c r="H77" s="173">
        <v>25</v>
      </c>
      <c r="I77" s="173">
        <v>25</v>
      </c>
      <c r="J77" s="173">
        <v>0</v>
      </c>
      <c r="K77" s="103">
        <v>0</v>
      </c>
    </row>
    <row r="78" spans="2:11" ht="15" x14ac:dyDescent="0.2">
      <c r="B78" s="82">
        <v>3792</v>
      </c>
      <c r="C78" s="83">
        <v>5321</v>
      </c>
      <c r="D78" s="83">
        <v>112</v>
      </c>
      <c r="E78" s="83"/>
      <c r="F78" s="172" t="s">
        <v>106</v>
      </c>
      <c r="G78" s="173">
        <v>0</v>
      </c>
      <c r="H78" s="173">
        <v>368</v>
      </c>
      <c r="I78" s="173">
        <v>368</v>
      </c>
      <c r="J78" s="173">
        <v>0</v>
      </c>
      <c r="K78" s="103">
        <v>0</v>
      </c>
    </row>
    <row r="79" spans="2:11" ht="15" x14ac:dyDescent="0.2">
      <c r="B79" s="82">
        <v>3792</v>
      </c>
      <c r="C79" s="83">
        <v>5331</v>
      </c>
      <c r="D79" s="83">
        <v>112</v>
      </c>
      <c r="E79" s="83"/>
      <c r="F79" s="172" t="s">
        <v>452</v>
      </c>
      <c r="G79" s="173">
        <v>640</v>
      </c>
      <c r="H79" s="173">
        <v>80</v>
      </c>
      <c r="I79" s="173">
        <v>0</v>
      </c>
      <c r="J79" s="173">
        <v>490</v>
      </c>
      <c r="K79" s="103">
        <f t="shared" si="0"/>
        <v>76.5625</v>
      </c>
    </row>
    <row r="80" spans="2:11" ht="15" thickBot="1" x14ac:dyDescent="0.25">
      <c r="B80" s="82"/>
      <c r="C80" s="83"/>
      <c r="D80" s="83"/>
      <c r="E80" s="83"/>
      <c r="F80" s="172"/>
      <c r="G80" s="213">
        <f>SUM(G73:G79)</f>
        <v>850</v>
      </c>
      <c r="H80" s="213">
        <f t="shared" ref="H80:J80" si="9">SUM(H73:H79)</f>
        <v>667.11</v>
      </c>
      <c r="I80" s="213">
        <f t="shared" si="9"/>
        <v>423.79</v>
      </c>
      <c r="J80" s="213">
        <f t="shared" si="9"/>
        <v>650</v>
      </c>
      <c r="K80" s="104">
        <f t="shared" si="0"/>
        <v>76.470588235294116</v>
      </c>
    </row>
    <row r="81" spans="2:11" ht="15.75" thickBot="1" x14ac:dyDescent="0.25">
      <c r="B81" s="18" t="s">
        <v>25</v>
      </c>
      <c r="C81" s="19"/>
      <c r="D81" s="19"/>
      <c r="E81" s="19"/>
      <c r="F81" s="20"/>
      <c r="G81" s="73">
        <f>SUM(G10:G25)+G28+G31+G34+G37+G41+G46+G49+G67+G71+G80</f>
        <v>77076</v>
      </c>
      <c r="H81" s="73">
        <f>SUM(H10:H25)+H28+H31+H34+H37+H41+H46+H49+H67+H71+H80</f>
        <v>82313.11</v>
      </c>
      <c r="I81" s="73">
        <f>SUM(I10:I25)+I28+I31+I34+I37+I41+I46+I49+I67+I71+I80</f>
        <v>71853.219999999987</v>
      </c>
      <c r="J81" s="73">
        <f>SUM(J10:J25)+J28+J31+J34+J37+J41+J46+J49+J67+J71+J80</f>
        <v>79246</v>
      </c>
      <c r="K81" s="106">
        <f t="shared" si="0"/>
        <v>102.81540297887798</v>
      </c>
    </row>
    <row r="82" spans="2:11" x14ac:dyDescent="0.2">
      <c r="F82" s="1"/>
      <c r="G82" s="74"/>
      <c r="H82" s="32"/>
      <c r="I82" s="32"/>
      <c r="J82" s="1"/>
    </row>
    <row r="83" spans="2:11" s="123" customFormat="1" ht="14.25" x14ac:dyDescent="0.2">
      <c r="B83" s="122"/>
      <c r="F83" s="185"/>
      <c r="G83" s="185"/>
      <c r="H83" s="185"/>
      <c r="I83" s="185"/>
      <c r="J83" s="185"/>
      <c r="K83" s="186"/>
    </row>
    <row r="84" spans="2:11" s="123" customFormat="1" ht="14.25" x14ac:dyDescent="0.2">
      <c r="F84" s="185"/>
      <c r="G84" s="193"/>
      <c r="H84" s="194"/>
      <c r="I84" s="194"/>
      <c r="J84" s="185"/>
      <c r="K84" s="186"/>
    </row>
    <row r="85" spans="2:11" s="123" customFormat="1" ht="15.75" thickBot="1" x14ac:dyDescent="0.25">
      <c r="B85" s="22" t="s">
        <v>146</v>
      </c>
      <c r="C85" s="22"/>
      <c r="D85" s="22"/>
      <c r="E85" s="22"/>
      <c r="F85" s="23"/>
      <c r="G85" s="75"/>
      <c r="H85" s="33"/>
      <c r="I85" s="33"/>
      <c r="J85" s="24">
        <v>8</v>
      </c>
      <c r="K85" s="108" t="s">
        <v>27</v>
      </c>
    </row>
    <row r="86" spans="2:11" s="123" customFormat="1" ht="100.5" customHeight="1" thickTop="1" x14ac:dyDescent="0.2">
      <c r="B86" s="265" t="s">
        <v>429</v>
      </c>
      <c r="C86" s="266"/>
      <c r="D86" s="266"/>
      <c r="E86" s="266"/>
      <c r="F86" s="266"/>
      <c r="G86" s="266"/>
      <c r="H86" s="266"/>
      <c r="I86" s="266"/>
      <c r="J86" s="266"/>
      <c r="K86" s="266"/>
    </row>
    <row r="87" spans="2:11" s="123" customFormat="1" ht="15.75" thickBot="1" x14ac:dyDescent="0.25">
      <c r="B87" s="22" t="s">
        <v>147</v>
      </c>
      <c r="C87" s="22"/>
      <c r="D87" s="22"/>
      <c r="E87" s="22"/>
      <c r="F87" s="23"/>
      <c r="G87" s="75"/>
      <c r="H87" s="24"/>
      <c r="I87" s="24"/>
      <c r="J87" s="24">
        <v>2</v>
      </c>
      <c r="K87" s="108" t="s">
        <v>27</v>
      </c>
    </row>
    <row r="88" spans="2:11" s="123" customFormat="1" ht="38.25" customHeight="1" thickTop="1" x14ac:dyDescent="0.2">
      <c r="B88" s="265" t="s">
        <v>430</v>
      </c>
      <c r="C88" s="266"/>
      <c r="D88" s="266"/>
      <c r="E88" s="266"/>
      <c r="F88" s="266"/>
      <c r="G88" s="266"/>
      <c r="H88" s="266"/>
      <c r="I88" s="266"/>
      <c r="J88" s="266"/>
      <c r="K88" s="266"/>
    </row>
    <row r="89" spans="2:11" s="123" customFormat="1" ht="15.75" thickBot="1" x14ac:dyDescent="0.25">
      <c r="B89" s="22" t="s">
        <v>148</v>
      </c>
      <c r="C89" s="22"/>
      <c r="D89" s="22"/>
      <c r="E89" s="22"/>
      <c r="F89" s="23"/>
      <c r="G89" s="75"/>
      <c r="H89" s="24"/>
      <c r="I89" s="24"/>
      <c r="J89" s="24">
        <v>35</v>
      </c>
      <c r="K89" s="108" t="s">
        <v>27</v>
      </c>
    </row>
    <row r="90" spans="2:11" s="123" customFormat="1" ht="73.5" customHeight="1" thickTop="1" x14ac:dyDescent="0.2">
      <c r="B90" s="265" t="s">
        <v>431</v>
      </c>
      <c r="C90" s="266"/>
      <c r="D90" s="266"/>
      <c r="E90" s="266"/>
      <c r="F90" s="266"/>
      <c r="G90" s="266"/>
      <c r="H90" s="266"/>
      <c r="I90" s="266"/>
      <c r="J90" s="266"/>
      <c r="K90" s="266"/>
    </row>
    <row r="91" spans="2:11" s="123" customFormat="1" ht="15.75" thickBot="1" x14ac:dyDescent="0.25">
      <c r="B91" s="22" t="s">
        <v>149</v>
      </c>
      <c r="C91" s="22"/>
      <c r="D91" s="22"/>
      <c r="E91" s="22"/>
      <c r="F91" s="23"/>
      <c r="G91" s="75"/>
      <c r="H91" s="24"/>
      <c r="I91" s="24"/>
      <c r="J91" s="24">
        <v>5</v>
      </c>
      <c r="K91" s="108" t="s">
        <v>27</v>
      </c>
    </row>
    <row r="92" spans="2:11" s="123" customFormat="1" ht="67.5" customHeight="1" thickTop="1" x14ac:dyDescent="0.2">
      <c r="B92" s="265" t="s">
        <v>432</v>
      </c>
      <c r="C92" s="266"/>
      <c r="D92" s="266"/>
      <c r="E92" s="266"/>
      <c r="F92" s="266"/>
      <c r="G92" s="266"/>
      <c r="H92" s="266"/>
      <c r="I92" s="266"/>
      <c r="J92" s="266"/>
      <c r="K92" s="266"/>
    </row>
    <row r="93" spans="2:11" s="123" customFormat="1" ht="15.75" thickBot="1" x14ac:dyDescent="0.25">
      <c r="B93" s="22" t="s">
        <v>150</v>
      </c>
      <c r="C93" s="22"/>
      <c r="D93" s="22"/>
      <c r="E93" s="22"/>
      <c r="F93" s="23"/>
      <c r="G93" s="75"/>
      <c r="H93" s="24"/>
      <c r="I93" s="24"/>
      <c r="J93" s="24">
        <v>64</v>
      </c>
      <c r="K93" s="108" t="s">
        <v>27</v>
      </c>
    </row>
    <row r="94" spans="2:11" s="123" customFormat="1" ht="39" customHeight="1" thickTop="1" x14ac:dyDescent="0.2">
      <c r="B94" s="265" t="s">
        <v>591</v>
      </c>
      <c r="C94" s="266"/>
      <c r="D94" s="266"/>
      <c r="E94" s="266"/>
      <c r="F94" s="266"/>
      <c r="G94" s="266"/>
      <c r="H94" s="266"/>
      <c r="I94" s="266"/>
      <c r="J94" s="266"/>
      <c r="K94" s="266"/>
    </row>
    <row r="95" spans="2:11" s="123" customFormat="1" ht="16.5" customHeight="1" x14ac:dyDescent="0.2">
      <c r="B95" s="191"/>
      <c r="C95" s="187"/>
      <c r="D95" s="187"/>
      <c r="E95" s="187"/>
      <c r="F95" s="187"/>
      <c r="G95" s="187"/>
      <c r="H95" s="187"/>
      <c r="I95" s="187"/>
      <c r="J95" s="187"/>
      <c r="K95" s="187"/>
    </row>
    <row r="96" spans="2:11" s="123" customFormat="1" ht="16.5" customHeight="1" x14ac:dyDescent="0.2">
      <c r="B96" s="191"/>
      <c r="C96" s="187"/>
      <c r="D96" s="187"/>
      <c r="E96" s="187"/>
      <c r="F96" s="187"/>
      <c r="G96" s="187"/>
      <c r="H96" s="187"/>
      <c r="I96" s="187"/>
      <c r="J96" s="187"/>
      <c r="K96" s="187"/>
    </row>
    <row r="97" spans="2:11" s="123" customFormat="1" ht="16.5" customHeight="1" x14ac:dyDescent="0.2">
      <c r="B97" s="191"/>
      <c r="C97" s="187"/>
      <c r="D97" s="187"/>
      <c r="E97" s="187"/>
      <c r="F97" s="187"/>
      <c r="G97" s="187"/>
      <c r="H97" s="187"/>
      <c r="I97" s="187"/>
      <c r="J97" s="187"/>
      <c r="K97" s="187"/>
    </row>
    <row r="98" spans="2:11" s="123" customFormat="1" ht="16.5" customHeight="1" x14ac:dyDescent="0.2">
      <c r="B98" s="191"/>
      <c r="C98" s="187"/>
      <c r="D98" s="187"/>
      <c r="E98" s="187"/>
      <c r="F98" s="187"/>
      <c r="G98" s="187"/>
      <c r="H98" s="187"/>
      <c r="I98" s="187"/>
      <c r="J98" s="187"/>
      <c r="K98" s="187"/>
    </row>
    <row r="99" spans="2:11" s="123" customFormat="1" ht="16.5" customHeight="1" x14ac:dyDescent="0.2">
      <c r="B99" s="191"/>
      <c r="C99" s="187"/>
      <c r="D99" s="187"/>
      <c r="E99" s="187"/>
      <c r="F99" s="187"/>
      <c r="G99" s="187"/>
      <c r="H99" s="187"/>
      <c r="I99" s="187"/>
      <c r="J99" s="187"/>
      <c r="K99" s="187"/>
    </row>
    <row r="100" spans="2:11" s="123" customFormat="1" ht="15.75" thickBot="1" x14ac:dyDescent="0.25">
      <c r="B100" s="22" t="s">
        <v>151</v>
      </c>
      <c r="C100" s="22"/>
      <c r="D100" s="22"/>
      <c r="E100" s="22"/>
      <c r="F100" s="23"/>
      <c r="G100" s="75"/>
      <c r="H100" s="24"/>
      <c r="I100" s="24"/>
      <c r="J100" s="24">
        <v>14100</v>
      </c>
      <c r="K100" s="108" t="s">
        <v>27</v>
      </c>
    </row>
    <row r="101" spans="2:11" s="123" customFormat="1" ht="409.5" customHeight="1" thickTop="1" x14ac:dyDescent="0.2">
      <c r="B101" s="265" t="s">
        <v>649</v>
      </c>
      <c r="C101" s="265"/>
      <c r="D101" s="265"/>
      <c r="E101" s="265"/>
      <c r="F101" s="265"/>
      <c r="G101" s="265"/>
      <c r="H101" s="265"/>
      <c r="I101" s="265"/>
      <c r="J101" s="265"/>
      <c r="K101" s="265"/>
    </row>
    <row r="102" spans="2:11" s="123" customFormat="1" ht="312" customHeight="1" x14ac:dyDescent="0.2">
      <c r="B102" s="275"/>
      <c r="C102" s="275"/>
      <c r="D102" s="275"/>
      <c r="E102" s="275"/>
      <c r="F102" s="275"/>
      <c r="G102" s="275"/>
      <c r="H102" s="275"/>
      <c r="I102" s="275"/>
      <c r="J102" s="275"/>
      <c r="K102" s="275"/>
    </row>
    <row r="103" spans="2:11" s="123" customFormat="1" ht="104.25" customHeight="1" x14ac:dyDescent="0.2">
      <c r="B103" s="275" t="s">
        <v>650</v>
      </c>
      <c r="C103" s="280"/>
      <c r="D103" s="280"/>
      <c r="E103" s="280"/>
      <c r="F103" s="280"/>
      <c r="G103" s="280"/>
      <c r="H103" s="280"/>
      <c r="I103" s="280"/>
      <c r="J103" s="280"/>
      <c r="K103" s="280"/>
    </row>
    <row r="104" spans="2:11" s="123" customFormat="1" ht="15.75" thickBot="1" x14ac:dyDescent="0.25">
      <c r="B104" s="22" t="s">
        <v>152</v>
      </c>
      <c r="C104" s="22"/>
      <c r="D104" s="22"/>
      <c r="E104" s="22"/>
      <c r="F104" s="23"/>
      <c r="G104" s="75"/>
      <c r="H104" s="24"/>
      <c r="I104" s="24"/>
      <c r="J104" s="24">
        <v>80</v>
      </c>
      <c r="K104" s="108" t="s">
        <v>27</v>
      </c>
    </row>
    <row r="105" spans="2:11" s="123" customFormat="1" ht="37.5" customHeight="1" thickTop="1" x14ac:dyDescent="0.2">
      <c r="B105" s="269" t="s">
        <v>651</v>
      </c>
      <c r="C105" s="270"/>
      <c r="D105" s="270"/>
      <c r="E105" s="270"/>
      <c r="F105" s="270"/>
      <c r="G105" s="270"/>
      <c r="H105" s="270"/>
      <c r="I105" s="270"/>
      <c r="J105" s="270"/>
      <c r="K105" s="270"/>
    </row>
    <row r="106" spans="2:11" s="123" customFormat="1" ht="135" customHeight="1" x14ac:dyDescent="0.2">
      <c r="B106" s="300" t="s">
        <v>652</v>
      </c>
      <c r="C106" s="268"/>
      <c r="D106" s="268"/>
      <c r="E106" s="268"/>
      <c r="F106" s="268"/>
      <c r="G106" s="268"/>
      <c r="H106" s="268"/>
      <c r="I106" s="268"/>
      <c r="J106" s="268"/>
      <c r="K106" s="268"/>
    </row>
    <row r="107" spans="2:11" s="123" customFormat="1" ht="15.75" thickBot="1" x14ac:dyDescent="0.25">
      <c r="B107" s="22" t="s">
        <v>153</v>
      </c>
      <c r="C107" s="22"/>
      <c r="D107" s="22"/>
      <c r="E107" s="22"/>
      <c r="F107" s="23"/>
      <c r="G107" s="75"/>
      <c r="H107" s="24"/>
      <c r="I107" s="24"/>
      <c r="J107" s="24">
        <v>500</v>
      </c>
      <c r="K107" s="108" t="s">
        <v>27</v>
      </c>
    </row>
    <row r="108" spans="2:11" s="123" customFormat="1" ht="53.25" customHeight="1" thickTop="1" x14ac:dyDescent="0.2">
      <c r="B108" s="265" t="s">
        <v>592</v>
      </c>
      <c r="C108" s="266"/>
      <c r="D108" s="266"/>
      <c r="E108" s="266"/>
      <c r="F108" s="266"/>
      <c r="G108" s="266"/>
      <c r="H108" s="266"/>
      <c r="I108" s="266"/>
      <c r="J108" s="266"/>
      <c r="K108" s="266"/>
    </row>
    <row r="109" spans="2:11" s="123" customFormat="1" ht="15.75" thickBot="1" x14ac:dyDescent="0.25">
      <c r="B109" s="22" t="s">
        <v>155</v>
      </c>
      <c r="C109" s="22"/>
      <c r="D109" s="22"/>
      <c r="E109" s="22"/>
      <c r="F109" s="23"/>
      <c r="G109" s="75"/>
      <c r="H109" s="24"/>
      <c r="I109" s="24"/>
      <c r="J109" s="24">
        <v>35</v>
      </c>
      <c r="K109" s="108" t="s">
        <v>27</v>
      </c>
    </row>
    <row r="110" spans="2:11" s="123" customFormat="1" ht="66" customHeight="1" thickTop="1" x14ac:dyDescent="0.2">
      <c r="B110" s="265" t="s">
        <v>593</v>
      </c>
      <c r="C110" s="266"/>
      <c r="D110" s="266"/>
      <c r="E110" s="266"/>
      <c r="F110" s="266"/>
      <c r="G110" s="266"/>
      <c r="H110" s="266"/>
      <c r="I110" s="266"/>
      <c r="J110" s="266"/>
      <c r="K110" s="266"/>
    </row>
    <row r="111" spans="2:11" s="123" customFormat="1" ht="15.75" thickBot="1" x14ac:dyDescent="0.25">
      <c r="B111" s="22" t="s">
        <v>162</v>
      </c>
      <c r="C111" s="22"/>
      <c r="D111" s="22"/>
      <c r="E111" s="22"/>
      <c r="F111" s="23"/>
      <c r="G111" s="75"/>
      <c r="H111" s="24"/>
      <c r="I111" s="24"/>
      <c r="J111" s="24">
        <v>200</v>
      </c>
      <c r="K111" s="108" t="s">
        <v>27</v>
      </c>
    </row>
    <row r="112" spans="2:11" s="123" customFormat="1" ht="54.75" customHeight="1" thickTop="1" x14ac:dyDescent="0.2">
      <c r="B112" s="265" t="s">
        <v>434</v>
      </c>
      <c r="C112" s="266"/>
      <c r="D112" s="266"/>
      <c r="E112" s="266"/>
      <c r="F112" s="266"/>
      <c r="G112" s="266"/>
      <c r="H112" s="266"/>
      <c r="I112" s="266"/>
      <c r="J112" s="266"/>
      <c r="K112" s="266"/>
    </row>
    <row r="113" spans="2:11" s="123" customFormat="1" ht="14.25" x14ac:dyDescent="0.2">
      <c r="B113" s="298" t="s">
        <v>555</v>
      </c>
      <c r="C113" s="299"/>
      <c r="D113" s="299"/>
      <c r="E113" s="299"/>
      <c r="F113" s="299"/>
      <c r="G113" s="187"/>
      <c r="H113" s="187"/>
      <c r="I113" s="187"/>
      <c r="J113" s="187"/>
      <c r="K113" s="187"/>
    </row>
    <row r="114" spans="2:11" s="123" customFormat="1" ht="15.75" thickBot="1" x14ac:dyDescent="0.25">
      <c r="B114" s="22" t="s">
        <v>154</v>
      </c>
      <c r="C114" s="22"/>
      <c r="D114" s="22"/>
      <c r="E114" s="22"/>
      <c r="F114" s="23"/>
      <c r="G114" s="75"/>
      <c r="H114" s="24"/>
      <c r="I114" s="24"/>
      <c r="J114" s="24">
        <v>400</v>
      </c>
      <c r="K114" s="108" t="s">
        <v>27</v>
      </c>
    </row>
    <row r="115" spans="2:11" s="123" customFormat="1" ht="130.5" customHeight="1" thickTop="1" x14ac:dyDescent="0.2">
      <c r="B115" s="265" t="s">
        <v>701</v>
      </c>
      <c r="C115" s="266"/>
      <c r="D115" s="266"/>
      <c r="E115" s="266"/>
      <c r="F115" s="266"/>
      <c r="G115" s="266"/>
      <c r="H115" s="266"/>
      <c r="I115" s="266"/>
      <c r="J115" s="266"/>
      <c r="K115" s="266"/>
    </row>
    <row r="116" spans="2:11" s="123" customFormat="1" ht="14.25" x14ac:dyDescent="0.2">
      <c r="B116" s="298" t="s">
        <v>556</v>
      </c>
      <c r="C116" s="299"/>
      <c r="D116" s="299"/>
      <c r="E116" s="299"/>
      <c r="F116" s="299"/>
      <c r="G116" s="187"/>
      <c r="H116" s="187"/>
      <c r="I116" s="187"/>
      <c r="J116" s="187"/>
      <c r="K116" s="187"/>
    </row>
    <row r="117" spans="2:11" s="123" customFormat="1" ht="15.75" thickBot="1" x14ac:dyDescent="0.25">
      <c r="B117" s="22" t="s">
        <v>157</v>
      </c>
      <c r="C117" s="22"/>
      <c r="D117" s="22"/>
      <c r="E117" s="22"/>
      <c r="F117" s="23"/>
      <c r="G117" s="75"/>
      <c r="H117" s="24"/>
      <c r="I117" s="24"/>
      <c r="J117" s="24">
        <v>150</v>
      </c>
      <c r="K117" s="108" t="s">
        <v>27</v>
      </c>
    </row>
    <row r="118" spans="2:11" s="123" customFormat="1" ht="72" customHeight="1" thickTop="1" x14ac:dyDescent="0.2">
      <c r="B118" s="265" t="s">
        <v>433</v>
      </c>
      <c r="C118" s="266"/>
      <c r="D118" s="266"/>
      <c r="E118" s="266"/>
      <c r="F118" s="266"/>
      <c r="G118" s="266"/>
      <c r="H118" s="266"/>
      <c r="I118" s="266"/>
      <c r="J118" s="266"/>
      <c r="K118" s="266"/>
    </row>
    <row r="119" spans="2:11" s="123" customFormat="1" ht="14.25" x14ac:dyDescent="0.2">
      <c r="B119" s="298" t="s">
        <v>557</v>
      </c>
      <c r="C119" s="299"/>
      <c r="D119" s="299"/>
      <c r="E119" s="299"/>
      <c r="F119" s="299"/>
      <c r="G119" s="187"/>
      <c r="H119" s="187"/>
      <c r="I119" s="187"/>
      <c r="J119" s="187"/>
      <c r="K119" s="187"/>
    </row>
    <row r="120" spans="2:11" s="123" customFormat="1" ht="15.75" thickBot="1" x14ac:dyDescent="0.25">
      <c r="B120" s="22" t="s">
        <v>157</v>
      </c>
      <c r="C120" s="22"/>
      <c r="D120" s="22"/>
      <c r="E120" s="22"/>
      <c r="F120" s="23"/>
      <c r="G120" s="75"/>
      <c r="H120" s="24"/>
      <c r="I120" s="24"/>
      <c r="J120" s="24">
        <v>50</v>
      </c>
      <c r="K120" s="108" t="s">
        <v>27</v>
      </c>
    </row>
    <row r="121" spans="2:11" s="123" customFormat="1" ht="102" customHeight="1" thickTop="1" x14ac:dyDescent="0.2">
      <c r="B121" s="265" t="s">
        <v>594</v>
      </c>
      <c r="C121" s="266"/>
      <c r="D121" s="266"/>
      <c r="E121" s="266"/>
      <c r="F121" s="266"/>
      <c r="G121" s="266"/>
      <c r="H121" s="266"/>
      <c r="I121" s="266"/>
      <c r="J121" s="266"/>
      <c r="K121" s="266"/>
    </row>
    <row r="122" spans="2:11" s="123" customFormat="1" ht="14.25" x14ac:dyDescent="0.2">
      <c r="B122" s="298" t="s">
        <v>561</v>
      </c>
      <c r="C122" s="299"/>
      <c r="D122" s="299"/>
      <c r="E122" s="299"/>
      <c r="F122" s="299"/>
      <c r="G122" s="187"/>
      <c r="H122" s="187"/>
      <c r="I122" s="187"/>
      <c r="J122" s="187"/>
      <c r="K122" s="187"/>
    </row>
    <row r="123" spans="2:11" s="123" customFormat="1" ht="15.75" thickBot="1" x14ac:dyDescent="0.25">
      <c r="B123" s="22" t="s">
        <v>157</v>
      </c>
      <c r="C123" s="22"/>
      <c r="D123" s="22"/>
      <c r="E123" s="22"/>
      <c r="F123" s="23"/>
      <c r="G123" s="75"/>
      <c r="H123" s="24"/>
      <c r="I123" s="24"/>
      <c r="J123" s="24">
        <v>7100</v>
      </c>
      <c r="K123" s="108" t="s">
        <v>27</v>
      </c>
    </row>
    <row r="124" spans="2:11" s="123" customFormat="1" ht="138" customHeight="1" thickTop="1" x14ac:dyDescent="0.2">
      <c r="B124" s="265" t="s">
        <v>595</v>
      </c>
      <c r="C124" s="266"/>
      <c r="D124" s="266"/>
      <c r="E124" s="266"/>
      <c r="F124" s="266"/>
      <c r="G124" s="266"/>
      <c r="H124" s="266"/>
      <c r="I124" s="266"/>
      <c r="J124" s="266"/>
      <c r="K124" s="266"/>
    </row>
    <row r="125" spans="2:11" s="123" customFormat="1" ht="15" customHeight="1" x14ac:dyDescent="0.2">
      <c r="B125" s="298" t="s">
        <v>580</v>
      </c>
      <c r="C125" s="299"/>
      <c r="D125" s="299"/>
      <c r="E125" s="299"/>
      <c r="F125" s="299"/>
      <c r="G125" s="187"/>
      <c r="H125" s="187"/>
      <c r="I125" s="187"/>
      <c r="J125" s="187"/>
      <c r="K125" s="187"/>
    </row>
    <row r="126" spans="2:11" s="198" customFormat="1" ht="15.75" thickBot="1" x14ac:dyDescent="0.25">
      <c r="B126" s="159" t="s">
        <v>158</v>
      </c>
      <c r="C126" s="159"/>
      <c r="D126" s="159"/>
      <c r="E126" s="159"/>
      <c r="F126" s="160"/>
      <c r="G126" s="160"/>
      <c r="H126" s="161"/>
      <c r="I126" s="161"/>
      <c r="J126" s="161">
        <v>1500</v>
      </c>
      <c r="K126" s="175" t="s">
        <v>27</v>
      </c>
    </row>
    <row r="127" spans="2:11" s="198" customFormat="1" ht="29.25" customHeight="1" thickTop="1" x14ac:dyDescent="0.2">
      <c r="B127" s="284" t="s">
        <v>359</v>
      </c>
      <c r="C127" s="285"/>
      <c r="D127" s="285"/>
      <c r="E127" s="285"/>
      <c r="F127" s="285"/>
      <c r="G127" s="285"/>
      <c r="H127" s="285"/>
      <c r="I127" s="285"/>
      <c r="J127" s="285"/>
      <c r="K127" s="285"/>
    </row>
    <row r="128" spans="2:11" s="198" customFormat="1" ht="29.25" customHeight="1" x14ac:dyDescent="0.2">
      <c r="B128" s="201"/>
      <c r="C128" s="202"/>
      <c r="D128" s="202"/>
      <c r="E128" s="202"/>
      <c r="F128" s="202"/>
      <c r="G128" s="202"/>
      <c r="H128" s="202"/>
      <c r="I128" s="202"/>
      <c r="J128" s="202"/>
      <c r="K128" s="202"/>
    </row>
    <row r="129" spans="2:11" s="198" customFormat="1" ht="15.75" thickBot="1" x14ac:dyDescent="0.25">
      <c r="B129" s="159" t="s">
        <v>159</v>
      </c>
      <c r="C129" s="159"/>
      <c r="D129" s="159"/>
      <c r="E129" s="159"/>
      <c r="F129" s="160"/>
      <c r="G129" s="160"/>
      <c r="H129" s="161"/>
      <c r="I129" s="161"/>
      <c r="J129" s="161">
        <v>500</v>
      </c>
      <c r="K129" s="175" t="s">
        <v>27</v>
      </c>
    </row>
    <row r="130" spans="2:11" s="198" customFormat="1" ht="24.75" customHeight="1" thickTop="1" x14ac:dyDescent="0.2">
      <c r="B130" s="284" t="s">
        <v>361</v>
      </c>
      <c r="C130" s="285"/>
      <c r="D130" s="285"/>
      <c r="E130" s="285"/>
      <c r="F130" s="285"/>
      <c r="G130" s="285"/>
      <c r="H130" s="285"/>
      <c r="I130" s="285"/>
      <c r="J130" s="285"/>
      <c r="K130" s="285"/>
    </row>
    <row r="131" spans="2:11" s="198" customFormat="1" ht="15.75" thickBot="1" x14ac:dyDescent="0.25">
      <c r="B131" s="159" t="s">
        <v>160</v>
      </c>
      <c r="C131" s="159"/>
      <c r="D131" s="159"/>
      <c r="E131" s="159"/>
      <c r="F131" s="160"/>
      <c r="G131" s="160"/>
      <c r="H131" s="161"/>
      <c r="I131" s="161"/>
      <c r="J131" s="161">
        <v>4500</v>
      </c>
      <c r="K131" s="175" t="s">
        <v>27</v>
      </c>
    </row>
    <row r="132" spans="2:11" s="198" customFormat="1" ht="24.75" customHeight="1" thickTop="1" x14ac:dyDescent="0.2">
      <c r="B132" s="284" t="s">
        <v>691</v>
      </c>
      <c r="C132" s="307"/>
      <c r="D132" s="307"/>
      <c r="E132" s="307"/>
      <c r="F132" s="307"/>
      <c r="G132" s="307"/>
      <c r="H132" s="307"/>
      <c r="I132" s="307"/>
      <c r="J132" s="307"/>
      <c r="K132" s="307"/>
    </row>
    <row r="133" spans="2:11" s="198" customFormat="1" ht="14.25" customHeight="1" x14ac:dyDescent="0.2">
      <c r="B133" s="305" t="s">
        <v>558</v>
      </c>
      <c r="C133" s="306"/>
      <c r="D133" s="306"/>
      <c r="E133" s="306"/>
      <c r="F133" s="306"/>
      <c r="G133" s="202"/>
      <c r="H133" s="202"/>
      <c r="I133" s="202"/>
      <c r="J133" s="202"/>
      <c r="K133" s="202"/>
    </row>
    <row r="134" spans="2:11" s="198" customFormat="1" ht="15.75" thickBot="1" x14ac:dyDescent="0.25">
      <c r="B134" s="159" t="s">
        <v>159</v>
      </c>
      <c r="C134" s="159"/>
      <c r="D134" s="159"/>
      <c r="E134" s="159"/>
      <c r="F134" s="160"/>
      <c r="G134" s="160"/>
      <c r="H134" s="161"/>
      <c r="I134" s="161"/>
      <c r="J134" s="161">
        <v>1500</v>
      </c>
      <c r="K134" s="175" t="s">
        <v>27</v>
      </c>
    </row>
    <row r="135" spans="2:11" s="198" customFormat="1" ht="42.75" customHeight="1" thickTop="1" x14ac:dyDescent="0.2">
      <c r="B135" s="284" t="s">
        <v>360</v>
      </c>
      <c r="C135" s="285"/>
      <c r="D135" s="285"/>
      <c r="E135" s="285"/>
      <c r="F135" s="285"/>
      <c r="G135" s="285"/>
      <c r="H135" s="285"/>
      <c r="I135" s="285"/>
      <c r="J135" s="285"/>
      <c r="K135" s="285"/>
    </row>
    <row r="136" spans="2:11" s="198" customFormat="1" ht="14.25" x14ac:dyDescent="0.2">
      <c r="B136" s="305" t="s">
        <v>581</v>
      </c>
      <c r="C136" s="306"/>
      <c r="D136" s="306"/>
      <c r="E136" s="306"/>
      <c r="F136" s="306"/>
      <c r="G136" s="202"/>
      <c r="H136" s="202"/>
      <c r="I136" s="202"/>
      <c r="J136" s="202"/>
      <c r="K136" s="202"/>
    </row>
    <row r="137" spans="2:11" s="198" customFormat="1" ht="15.75" thickBot="1" x14ac:dyDescent="0.25">
      <c r="B137" s="159" t="s">
        <v>160</v>
      </c>
      <c r="C137" s="159"/>
      <c r="D137" s="159"/>
      <c r="E137" s="159"/>
      <c r="F137" s="160"/>
      <c r="G137" s="160"/>
      <c r="H137" s="161"/>
      <c r="I137" s="161"/>
      <c r="J137" s="161">
        <v>10500</v>
      </c>
      <c r="K137" s="175" t="s">
        <v>27</v>
      </c>
    </row>
    <row r="138" spans="2:11" s="198" customFormat="1" ht="81.75" customHeight="1" thickTop="1" x14ac:dyDescent="0.2">
      <c r="B138" s="288" t="s">
        <v>690</v>
      </c>
      <c r="C138" s="289"/>
      <c r="D138" s="289"/>
      <c r="E138" s="289"/>
      <c r="F138" s="289"/>
      <c r="G138" s="289"/>
      <c r="H138" s="289"/>
      <c r="I138" s="289"/>
      <c r="J138" s="289"/>
      <c r="K138" s="289"/>
    </row>
    <row r="139" spans="2:11" s="123" customFormat="1" ht="14.25" x14ac:dyDescent="0.2">
      <c r="B139" s="298" t="s">
        <v>582</v>
      </c>
      <c r="C139" s="299"/>
      <c r="D139" s="299"/>
      <c r="E139" s="299"/>
      <c r="F139" s="299"/>
      <c r="G139" s="187"/>
      <c r="H139" s="187"/>
      <c r="I139" s="187"/>
      <c r="J139" s="187"/>
      <c r="K139" s="187"/>
    </row>
    <row r="140" spans="2:11" s="123" customFormat="1" ht="15.75" thickBot="1" x14ac:dyDescent="0.25">
      <c r="B140" s="22" t="s">
        <v>161</v>
      </c>
      <c r="C140" s="22"/>
      <c r="D140" s="22"/>
      <c r="E140" s="22"/>
      <c r="F140" s="23"/>
      <c r="G140" s="75"/>
      <c r="H140" s="24"/>
      <c r="I140" s="24"/>
      <c r="J140" s="24">
        <v>37367</v>
      </c>
      <c r="K140" s="108" t="s">
        <v>27</v>
      </c>
    </row>
    <row r="141" spans="2:11" s="123" customFormat="1" ht="169.5" customHeight="1" thickTop="1" x14ac:dyDescent="0.2">
      <c r="B141" s="265" t="s">
        <v>692</v>
      </c>
      <c r="C141" s="266"/>
      <c r="D141" s="266"/>
      <c r="E141" s="266"/>
      <c r="F141" s="266"/>
      <c r="G141" s="266"/>
      <c r="H141" s="266"/>
      <c r="I141" s="266"/>
      <c r="J141" s="266"/>
      <c r="K141" s="266"/>
    </row>
    <row r="142" spans="2:11" s="123" customFormat="1" ht="14.25" x14ac:dyDescent="0.2">
      <c r="B142" s="298" t="s">
        <v>559</v>
      </c>
      <c r="C142" s="299"/>
      <c r="D142" s="299"/>
      <c r="E142" s="299"/>
      <c r="F142" s="299"/>
      <c r="G142" s="187"/>
      <c r="H142" s="187"/>
      <c r="I142" s="187"/>
      <c r="J142" s="187"/>
      <c r="K142" s="187"/>
    </row>
    <row r="143" spans="2:11" s="123" customFormat="1" ht="15.75" thickBot="1" x14ac:dyDescent="0.25">
      <c r="B143" s="22" t="s">
        <v>163</v>
      </c>
      <c r="C143" s="22"/>
      <c r="D143" s="22"/>
      <c r="E143" s="22"/>
      <c r="F143" s="23"/>
      <c r="G143" s="75"/>
      <c r="H143" s="24"/>
      <c r="I143" s="24"/>
      <c r="J143" s="24">
        <v>20</v>
      </c>
      <c r="K143" s="108" t="s">
        <v>27</v>
      </c>
    </row>
    <row r="144" spans="2:11" s="123" customFormat="1" ht="47.25" customHeight="1" thickTop="1" x14ac:dyDescent="0.2">
      <c r="B144" s="265" t="s">
        <v>435</v>
      </c>
      <c r="C144" s="266"/>
      <c r="D144" s="266"/>
      <c r="E144" s="266"/>
      <c r="F144" s="266"/>
      <c r="G144" s="266"/>
      <c r="H144" s="266"/>
      <c r="I144" s="266"/>
      <c r="J144" s="266"/>
      <c r="K144" s="266"/>
    </row>
    <row r="145" spans="2:11" s="123" customFormat="1" ht="15.75" thickBot="1" x14ac:dyDescent="0.25">
      <c r="B145" s="22" t="s">
        <v>164</v>
      </c>
      <c r="C145" s="22"/>
      <c r="D145" s="22"/>
      <c r="E145" s="22"/>
      <c r="F145" s="23"/>
      <c r="G145" s="75"/>
      <c r="H145" s="24"/>
      <c r="I145" s="24"/>
      <c r="J145" s="24">
        <v>120</v>
      </c>
      <c r="K145" s="108" t="s">
        <v>27</v>
      </c>
    </row>
    <row r="146" spans="2:11" s="123" customFormat="1" ht="111.75" customHeight="1" thickTop="1" x14ac:dyDescent="0.2">
      <c r="B146" s="265" t="s">
        <v>436</v>
      </c>
      <c r="C146" s="266"/>
      <c r="D146" s="266"/>
      <c r="E146" s="266"/>
      <c r="F146" s="266"/>
      <c r="G146" s="266"/>
      <c r="H146" s="266"/>
      <c r="I146" s="266"/>
      <c r="J146" s="266"/>
      <c r="K146" s="266"/>
    </row>
    <row r="147" spans="2:11" s="123" customFormat="1" ht="15.75" thickBot="1" x14ac:dyDescent="0.25">
      <c r="B147" s="22" t="s">
        <v>165</v>
      </c>
      <c r="C147" s="22"/>
      <c r="D147" s="22"/>
      <c r="E147" s="22"/>
      <c r="F147" s="23"/>
      <c r="G147" s="75"/>
      <c r="H147" s="24"/>
      <c r="I147" s="24"/>
      <c r="J147" s="24">
        <v>20</v>
      </c>
      <c r="K147" s="108" t="s">
        <v>27</v>
      </c>
    </row>
    <row r="148" spans="2:11" s="123" customFormat="1" ht="41.25" customHeight="1" thickTop="1" x14ac:dyDescent="0.2">
      <c r="B148" s="265" t="s">
        <v>596</v>
      </c>
      <c r="C148" s="266"/>
      <c r="D148" s="266"/>
      <c r="E148" s="266"/>
      <c r="F148" s="266"/>
      <c r="G148" s="266"/>
      <c r="H148" s="266"/>
      <c r="I148" s="266"/>
      <c r="J148" s="266"/>
      <c r="K148" s="266"/>
    </row>
    <row r="149" spans="2:11" s="123" customFormat="1" ht="16.5" customHeight="1" x14ac:dyDescent="0.2">
      <c r="B149" s="191"/>
      <c r="C149" s="187"/>
      <c r="D149" s="187"/>
      <c r="E149" s="187"/>
      <c r="F149" s="187"/>
      <c r="G149" s="187"/>
      <c r="H149" s="187"/>
      <c r="I149" s="187"/>
      <c r="J149" s="187"/>
      <c r="K149" s="187"/>
    </row>
    <row r="150" spans="2:11" s="123" customFormat="1" ht="15.75" thickBot="1" x14ac:dyDescent="0.25">
      <c r="B150" s="22" t="s">
        <v>166</v>
      </c>
      <c r="C150" s="22"/>
      <c r="D150" s="22"/>
      <c r="E150" s="22"/>
      <c r="F150" s="23"/>
      <c r="G150" s="75"/>
      <c r="H150" s="24"/>
      <c r="I150" s="24"/>
      <c r="J150" s="24">
        <v>490</v>
      </c>
      <c r="K150" s="108" t="s">
        <v>27</v>
      </c>
    </row>
    <row r="151" spans="2:11" s="123" customFormat="1" ht="172.5" customHeight="1" thickTop="1" x14ac:dyDescent="0.2">
      <c r="B151" s="265" t="s">
        <v>681</v>
      </c>
      <c r="C151" s="266"/>
      <c r="D151" s="266"/>
      <c r="E151" s="266"/>
      <c r="F151" s="266"/>
      <c r="G151" s="266"/>
      <c r="H151" s="266"/>
      <c r="I151" s="266"/>
      <c r="J151" s="266"/>
      <c r="K151" s="266"/>
    </row>
    <row r="152" spans="2:11" s="123" customFormat="1" ht="14.25" x14ac:dyDescent="0.2">
      <c r="G152" s="195"/>
      <c r="K152" s="186"/>
    </row>
    <row r="153" spans="2:11" s="123" customFormat="1" ht="14.25" x14ac:dyDescent="0.2">
      <c r="G153" s="195"/>
      <c r="K153" s="186"/>
    </row>
    <row r="154" spans="2:11" s="123" customFormat="1" ht="14.25" x14ac:dyDescent="0.2">
      <c r="G154" s="195"/>
      <c r="K154" s="186"/>
    </row>
    <row r="155" spans="2:11" s="123" customFormat="1" ht="14.25" x14ac:dyDescent="0.2">
      <c r="G155" s="195"/>
      <c r="K155" s="186"/>
    </row>
    <row r="156" spans="2:11" s="123" customFormat="1" ht="14.25" x14ac:dyDescent="0.2">
      <c r="G156" s="195"/>
      <c r="K156" s="186"/>
    </row>
    <row r="157" spans="2:11" s="123" customFormat="1" ht="14.25" x14ac:dyDescent="0.2">
      <c r="G157" s="195"/>
      <c r="K157" s="186"/>
    </row>
    <row r="158" spans="2:11" s="123" customFormat="1" ht="14.25" x14ac:dyDescent="0.2">
      <c r="G158" s="195"/>
      <c r="K158" s="186"/>
    </row>
    <row r="159" spans="2:11" s="123" customFormat="1" ht="14.25" x14ac:dyDescent="0.2">
      <c r="G159" s="195"/>
      <c r="K159" s="186"/>
    </row>
    <row r="160" spans="2:11" s="123" customFormat="1" ht="14.25" x14ac:dyDescent="0.2">
      <c r="G160" s="195"/>
      <c r="K160" s="186"/>
    </row>
    <row r="161" spans="7:11" s="123" customFormat="1" ht="14.25" x14ac:dyDescent="0.2">
      <c r="G161" s="195"/>
      <c r="K161" s="186"/>
    </row>
    <row r="162" spans="7:11" s="123" customFormat="1" ht="14.25" x14ac:dyDescent="0.2">
      <c r="G162" s="195"/>
      <c r="K162" s="186"/>
    </row>
    <row r="163" spans="7:11" s="123" customFormat="1" ht="14.25" x14ac:dyDescent="0.2">
      <c r="G163" s="195"/>
      <c r="K163" s="186"/>
    </row>
    <row r="164" spans="7:11" s="123" customFormat="1" ht="14.25" x14ac:dyDescent="0.2">
      <c r="G164" s="195"/>
      <c r="K164" s="186"/>
    </row>
  </sheetData>
  <mergeCells count="46">
    <mergeCell ref="B146:K146"/>
    <mergeCell ref="B148:K148"/>
    <mergeCell ref="B151:K151"/>
    <mergeCell ref="B139:F139"/>
    <mergeCell ref="B141:K141"/>
    <mergeCell ref="B142:F142"/>
    <mergeCell ref="B144:K144"/>
    <mergeCell ref="B130:K130"/>
    <mergeCell ref="B133:F133"/>
    <mergeCell ref="B135:K135"/>
    <mergeCell ref="B136:F136"/>
    <mergeCell ref="B138:K138"/>
    <mergeCell ref="B132:K132"/>
    <mergeCell ref="B94:K94"/>
    <mergeCell ref="B101:K102"/>
    <mergeCell ref="B113:F113"/>
    <mergeCell ref="B115:K115"/>
    <mergeCell ref="B116:F116"/>
    <mergeCell ref="B103:K103"/>
    <mergeCell ref="F72:J72"/>
    <mergeCell ref="B86:K86"/>
    <mergeCell ref="B88:K88"/>
    <mergeCell ref="B90:K90"/>
    <mergeCell ref="B92:K92"/>
    <mergeCell ref="F38:J38"/>
    <mergeCell ref="F42:J42"/>
    <mergeCell ref="F47:J47"/>
    <mergeCell ref="F61:J61"/>
    <mergeCell ref="F68:J68"/>
    <mergeCell ref="B2:F2"/>
    <mergeCell ref="F26:J26"/>
    <mergeCell ref="F29:J29"/>
    <mergeCell ref="F32:J32"/>
    <mergeCell ref="F35:J35"/>
    <mergeCell ref="B125:F125"/>
    <mergeCell ref="B127:K127"/>
    <mergeCell ref="B112:K112"/>
    <mergeCell ref="B105:K105"/>
    <mergeCell ref="B108:K108"/>
    <mergeCell ref="B110:K110"/>
    <mergeCell ref="B106:K106"/>
    <mergeCell ref="B124:K124"/>
    <mergeCell ref="B118:K118"/>
    <mergeCell ref="B119:F119"/>
    <mergeCell ref="B121:K121"/>
    <mergeCell ref="B122:F122"/>
  </mergeCells>
  <pageMargins left="0.70866141732283472" right="0.70866141732283472" top="0.78740157480314965" bottom="0.78740157480314965" header="0.31496062992125984" footer="0.31496062992125984"/>
  <pageSetup paperSize="9" scale="74" firstPageNumber="55" fitToHeight="9999" orientation="portrait" useFirstPageNumber="1" r:id="rId1"/>
  <headerFooter>
    <oddFooter>&amp;L&amp;"Arial CE,Kurzíva"Zastupitelstvo Olomouckého kraje 16-12-2011
6. - Rozpočet Olomouckého kraje 2012 - návrh rozpočtu 
Příloha č. 3a): Výdaje odborů (kanceláří)&amp;R&amp;"Arial CE,Kurzíva"Strana &amp;P (celkem 167)</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pageSetUpPr fitToPage="1"/>
  </sheetPr>
  <dimension ref="B2:K124"/>
  <sheetViews>
    <sheetView showGridLines="0" view="pageBreakPreview" topLeftCell="A108" zoomScaleNormal="100" zoomScaleSheetLayoutView="100" workbookViewId="0">
      <selection activeCell="B104" sqref="B104:K104"/>
    </sheetView>
  </sheetViews>
  <sheetFormatPr defaultRowHeight="12.75" x14ac:dyDescent="0.2"/>
  <cols>
    <col min="1" max="1" width="0.85546875" customWidth="1"/>
    <col min="2" max="3" width="4.7109375" customWidth="1"/>
    <col min="4" max="4" width="9.7109375" customWidth="1"/>
    <col min="5" max="5" width="11.7109375" customWidth="1"/>
    <col min="6" max="6" width="37.7109375" customWidth="1"/>
    <col min="7" max="10" width="10.7109375" customWidth="1"/>
    <col min="11" max="11" width="7.7109375" style="107" customWidth="1"/>
  </cols>
  <sheetData>
    <row r="2" spans="2:11" ht="30" customHeight="1" x14ac:dyDescent="0.2">
      <c r="B2" s="267" t="s">
        <v>130</v>
      </c>
      <c r="C2" s="268"/>
      <c r="D2" s="268"/>
      <c r="E2" s="268"/>
      <c r="F2" s="268"/>
      <c r="G2" s="3"/>
      <c r="H2" s="3"/>
      <c r="I2" s="3"/>
      <c r="J2" s="3"/>
      <c r="K2" s="98" t="s">
        <v>131</v>
      </c>
    </row>
    <row r="5" spans="2:11" s="123" customFormat="1" ht="15" x14ac:dyDescent="0.2">
      <c r="B5" s="188" t="s">
        <v>0</v>
      </c>
      <c r="C5" s="188"/>
      <c r="D5" s="188" t="s">
        <v>132</v>
      </c>
      <c r="E5" s="189"/>
      <c r="F5" s="189"/>
      <c r="G5" s="189"/>
      <c r="H5" s="189"/>
      <c r="I5" s="189"/>
      <c r="J5" s="189"/>
      <c r="K5" s="190"/>
    </row>
    <row r="6" spans="2:11" s="123" customFormat="1" ht="15" x14ac:dyDescent="0.2">
      <c r="B6" s="188"/>
      <c r="C6" s="188"/>
      <c r="D6" s="188" t="s">
        <v>33</v>
      </c>
      <c r="E6" s="189"/>
      <c r="F6" s="189"/>
      <c r="G6" s="189"/>
      <c r="H6" s="189"/>
      <c r="I6" s="189"/>
      <c r="J6" s="189"/>
      <c r="K6" s="190"/>
    </row>
    <row r="7" spans="2:11" ht="13.5" thickBot="1" x14ac:dyDescent="0.25">
      <c r="B7" s="5"/>
      <c r="C7" s="5"/>
      <c r="D7" s="5"/>
      <c r="E7" s="5"/>
      <c r="F7" s="5"/>
      <c r="G7" s="5"/>
      <c r="H7" s="5"/>
      <c r="I7" s="5"/>
      <c r="J7" s="5"/>
      <c r="K7" s="99" t="s">
        <v>3</v>
      </c>
    </row>
    <row r="8" spans="2:11" ht="35.1" customHeight="1" x14ac:dyDescent="0.2">
      <c r="B8" s="7" t="s">
        <v>4</v>
      </c>
      <c r="C8" s="8" t="s">
        <v>5</v>
      </c>
      <c r="D8" s="8" t="s">
        <v>6</v>
      </c>
      <c r="E8" s="8" t="s">
        <v>7</v>
      </c>
      <c r="F8" s="6" t="s">
        <v>8</v>
      </c>
      <c r="G8" s="6" t="s">
        <v>9</v>
      </c>
      <c r="H8" s="6" t="s">
        <v>10</v>
      </c>
      <c r="I8" s="6" t="s">
        <v>11</v>
      </c>
      <c r="J8" s="6" t="s">
        <v>12</v>
      </c>
      <c r="K8" s="100" t="s">
        <v>13</v>
      </c>
    </row>
    <row r="9" spans="2:11" ht="13.5" thickBot="1" x14ac:dyDescent="0.25">
      <c r="B9" s="10">
        <v>1</v>
      </c>
      <c r="C9" s="11">
        <v>2</v>
      </c>
      <c r="D9" s="11">
        <v>3</v>
      </c>
      <c r="E9" s="11">
        <v>4</v>
      </c>
      <c r="F9" s="12">
        <v>5</v>
      </c>
      <c r="G9" s="12">
        <v>6</v>
      </c>
      <c r="H9" s="12">
        <v>7</v>
      </c>
      <c r="I9" s="12">
        <v>8</v>
      </c>
      <c r="J9" s="12">
        <v>9</v>
      </c>
      <c r="K9" s="101" t="s">
        <v>14</v>
      </c>
    </row>
    <row r="10" spans="2:11" ht="15" x14ac:dyDescent="0.2">
      <c r="B10" s="88">
        <v>4339</v>
      </c>
      <c r="C10" s="89">
        <v>5169</v>
      </c>
      <c r="D10" s="89">
        <v>0</v>
      </c>
      <c r="E10" s="89">
        <v>20000000000</v>
      </c>
      <c r="F10" s="90" t="s">
        <v>15</v>
      </c>
      <c r="G10" s="91">
        <v>1500</v>
      </c>
      <c r="H10" s="91">
        <v>1491</v>
      </c>
      <c r="I10" s="91">
        <f>18360/100</f>
        <v>183.6</v>
      </c>
      <c r="J10" s="91">
        <v>900</v>
      </c>
      <c r="K10" s="113">
        <f>J10/G10*100</f>
        <v>60</v>
      </c>
    </row>
    <row r="11" spans="2:11" ht="15" x14ac:dyDescent="0.2">
      <c r="B11" s="82">
        <v>4349</v>
      </c>
      <c r="C11" s="83">
        <v>5169</v>
      </c>
      <c r="D11" s="83">
        <v>0</v>
      </c>
      <c r="E11" s="83">
        <v>20000000000</v>
      </c>
      <c r="F11" s="84" t="s">
        <v>15</v>
      </c>
      <c r="G11" s="85">
        <v>450</v>
      </c>
      <c r="H11" s="85">
        <v>450</v>
      </c>
      <c r="I11" s="85">
        <f>33150/100</f>
        <v>331.5</v>
      </c>
      <c r="J11" s="85">
        <v>430</v>
      </c>
      <c r="K11" s="103">
        <f>J11/G11*100</f>
        <v>95.555555555555557</v>
      </c>
    </row>
    <row r="12" spans="2:11" ht="15" x14ac:dyDescent="0.2">
      <c r="B12" s="82"/>
      <c r="C12" s="83"/>
      <c r="D12" s="83"/>
      <c r="E12" s="83"/>
      <c r="F12" s="276" t="s">
        <v>539</v>
      </c>
      <c r="G12" s="277"/>
      <c r="H12" s="277"/>
      <c r="I12" s="278"/>
      <c r="J12" s="279"/>
      <c r="K12" s="103"/>
    </row>
    <row r="13" spans="2:11" ht="25.5" x14ac:dyDescent="0.2">
      <c r="B13" s="82">
        <v>4349</v>
      </c>
      <c r="C13" s="83">
        <v>5221</v>
      </c>
      <c r="D13" s="83">
        <v>407</v>
      </c>
      <c r="E13" s="83"/>
      <c r="F13" s="84" t="s">
        <v>83</v>
      </c>
      <c r="G13" s="85">
        <v>0</v>
      </c>
      <c r="H13" s="85">
        <v>146</v>
      </c>
      <c r="I13" s="85">
        <v>146</v>
      </c>
      <c r="J13" s="85">
        <v>0</v>
      </c>
      <c r="K13" s="103"/>
    </row>
    <row r="14" spans="2:11" ht="25.5" x14ac:dyDescent="0.2">
      <c r="B14" s="82">
        <v>4349</v>
      </c>
      <c r="C14" s="83">
        <v>5222</v>
      </c>
      <c r="D14" s="83">
        <v>407</v>
      </c>
      <c r="E14" s="83"/>
      <c r="F14" s="84" t="s">
        <v>84</v>
      </c>
      <c r="G14" s="85">
        <v>0</v>
      </c>
      <c r="H14" s="85">
        <v>593</v>
      </c>
      <c r="I14" s="85">
        <v>593</v>
      </c>
      <c r="J14" s="85">
        <v>0</v>
      </c>
      <c r="K14" s="103"/>
    </row>
    <row r="15" spans="2:11" ht="25.5" x14ac:dyDescent="0.2">
      <c r="B15" s="82">
        <v>4349</v>
      </c>
      <c r="C15" s="83">
        <v>5223</v>
      </c>
      <c r="D15" s="83">
        <v>407</v>
      </c>
      <c r="E15" s="83"/>
      <c r="F15" s="84" t="s">
        <v>105</v>
      </c>
      <c r="G15" s="85">
        <v>0</v>
      </c>
      <c r="H15" s="85">
        <v>261</v>
      </c>
      <c r="I15" s="85">
        <v>261</v>
      </c>
      <c r="J15" s="85">
        <v>0</v>
      </c>
      <c r="K15" s="103"/>
    </row>
    <row r="16" spans="2:11" ht="25.5" x14ac:dyDescent="0.2">
      <c r="B16" s="82">
        <v>4349</v>
      </c>
      <c r="C16" s="83">
        <v>5229</v>
      </c>
      <c r="D16" s="83">
        <v>407</v>
      </c>
      <c r="E16" s="83">
        <v>30101000000</v>
      </c>
      <c r="F16" s="84" t="s">
        <v>86</v>
      </c>
      <c r="G16" s="85">
        <v>1000</v>
      </c>
      <c r="H16" s="85">
        <v>0</v>
      </c>
      <c r="I16" s="85">
        <v>0</v>
      </c>
      <c r="J16" s="85">
        <v>100</v>
      </c>
      <c r="K16" s="103">
        <f>J16/G16*100</f>
        <v>10</v>
      </c>
    </row>
    <row r="17" spans="2:11" ht="14.25" x14ac:dyDescent="0.2">
      <c r="B17" s="82"/>
      <c r="C17" s="83"/>
      <c r="D17" s="83"/>
      <c r="E17" s="83"/>
      <c r="F17" s="84"/>
      <c r="G17" s="87">
        <f>SUM(G13:G16)</f>
        <v>1000</v>
      </c>
      <c r="H17" s="87">
        <f>SUM(H13:H16)</f>
        <v>1000</v>
      </c>
      <c r="I17" s="87">
        <f>SUM(I13:I16)</f>
        <v>1000</v>
      </c>
      <c r="J17" s="87">
        <f>SUM(J13:J16)</f>
        <v>100</v>
      </c>
      <c r="K17" s="104">
        <f>J17/G17*100</f>
        <v>10</v>
      </c>
    </row>
    <row r="18" spans="2:11" ht="26.25" customHeight="1" x14ac:dyDescent="0.2">
      <c r="B18" s="82"/>
      <c r="C18" s="83"/>
      <c r="D18" s="83"/>
      <c r="E18" s="83"/>
      <c r="F18" s="276" t="s">
        <v>541</v>
      </c>
      <c r="G18" s="277"/>
      <c r="H18" s="277"/>
      <c r="I18" s="278"/>
      <c r="J18" s="278"/>
      <c r="K18" s="309"/>
    </row>
    <row r="19" spans="2:11" ht="25.5" x14ac:dyDescent="0.2">
      <c r="B19" s="82">
        <v>4349</v>
      </c>
      <c r="C19" s="83">
        <v>5222</v>
      </c>
      <c r="D19" s="83">
        <v>408</v>
      </c>
      <c r="E19" s="83"/>
      <c r="F19" s="84" t="s">
        <v>84</v>
      </c>
      <c r="G19" s="85">
        <v>0</v>
      </c>
      <c r="H19" s="85">
        <v>643</v>
      </c>
      <c r="I19" s="85">
        <v>643</v>
      </c>
      <c r="J19" s="85">
        <v>0</v>
      </c>
      <c r="K19" s="103"/>
    </row>
    <row r="20" spans="2:11" ht="25.5" x14ac:dyDescent="0.2">
      <c r="B20" s="82">
        <v>4349</v>
      </c>
      <c r="C20" s="83">
        <v>5223</v>
      </c>
      <c r="D20" s="83">
        <v>408</v>
      </c>
      <c r="E20" s="83"/>
      <c r="F20" s="84" t="s">
        <v>105</v>
      </c>
      <c r="G20" s="85">
        <v>0</v>
      </c>
      <c r="H20" s="85">
        <v>295</v>
      </c>
      <c r="I20" s="85">
        <v>295</v>
      </c>
      <c r="J20" s="85">
        <v>0</v>
      </c>
      <c r="K20" s="103"/>
    </row>
    <row r="21" spans="2:11" ht="15" x14ac:dyDescent="0.2">
      <c r="B21" s="82">
        <v>4349</v>
      </c>
      <c r="C21" s="83">
        <v>5321</v>
      </c>
      <c r="D21" s="83">
        <v>408</v>
      </c>
      <c r="E21" s="83"/>
      <c r="F21" s="84" t="s">
        <v>106</v>
      </c>
      <c r="G21" s="85">
        <v>0</v>
      </c>
      <c r="H21" s="85">
        <v>62</v>
      </c>
      <c r="I21" s="85">
        <v>62</v>
      </c>
      <c r="J21" s="85">
        <v>0</v>
      </c>
      <c r="K21" s="103"/>
    </row>
    <row r="22" spans="2:11" ht="25.5" x14ac:dyDescent="0.2">
      <c r="B22" s="82">
        <v>4349</v>
      </c>
      <c r="C22" s="83">
        <v>5229</v>
      </c>
      <c r="D22" s="83">
        <v>408</v>
      </c>
      <c r="E22" s="83">
        <v>30101000000</v>
      </c>
      <c r="F22" s="84" t="s">
        <v>86</v>
      </c>
      <c r="G22" s="85">
        <v>1000</v>
      </c>
      <c r="H22" s="85">
        <v>0</v>
      </c>
      <c r="I22" s="85">
        <v>0</v>
      </c>
      <c r="J22" s="85">
        <v>150</v>
      </c>
      <c r="K22" s="103">
        <f>J22/G22*100</f>
        <v>15</v>
      </c>
    </row>
    <row r="23" spans="2:11" ht="14.25" x14ac:dyDescent="0.2">
      <c r="B23" s="82"/>
      <c r="C23" s="83"/>
      <c r="D23" s="83"/>
      <c r="E23" s="83"/>
      <c r="F23" s="84"/>
      <c r="G23" s="87">
        <f>SUM(G19:G22)</f>
        <v>1000</v>
      </c>
      <c r="H23" s="87">
        <f>SUM(H19:H22)</f>
        <v>1000</v>
      </c>
      <c r="I23" s="87">
        <f>SUM(I19:I22)</f>
        <v>1000</v>
      </c>
      <c r="J23" s="87">
        <f>SUM(J19:J22)</f>
        <v>150</v>
      </c>
      <c r="K23" s="104">
        <f>J23/G23*100</f>
        <v>15</v>
      </c>
    </row>
    <row r="24" spans="2:11" ht="17.25" customHeight="1" x14ac:dyDescent="0.2">
      <c r="B24" s="82"/>
      <c r="C24" s="83"/>
      <c r="D24" s="83"/>
      <c r="E24" s="83"/>
      <c r="F24" s="276" t="s">
        <v>542</v>
      </c>
      <c r="G24" s="277"/>
      <c r="H24" s="277"/>
      <c r="I24" s="278"/>
      <c r="J24" s="279"/>
      <c r="K24" s="103"/>
    </row>
    <row r="25" spans="2:11" ht="25.5" x14ac:dyDescent="0.2">
      <c r="B25" s="82">
        <v>4349</v>
      </c>
      <c r="C25" s="83">
        <v>5221</v>
      </c>
      <c r="D25" s="83">
        <v>409</v>
      </c>
      <c r="E25" s="83"/>
      <c r="F25" s="84" t="s">
        <v>83</v>
      </c>
      <c r="G25" s="85">
        <v>0</v>
      </c>
      <c r="H25" s="85">
        <v>100</v>
      </c>
      <c r="I25" s="85">
        <v>100</v>
      </c>
      <c r="J25" s="85">
        <v>0</v>
      </c>
      <c r="K25" s="103"/>
    </row>
    <row r="26" spans="2:11" ht="25.5" x14ac:dyDescent="0.2">
      <c r="B26" s="82">
        <v>4349</v>
      </c>
      <c r="C26" s="83">
        <v>5222</v>
      </c>
      <c r="D26" s="83">
        <v>409</v>
      </c>
      <c r="E26" s="83"/>
      <c r="F26" s="84" t="s">
        <v>84</v>
      </c>
      <c r="G26" s="85">
        <v>0</v>
      </c>
      <c r="H26" s="85">
        <v>885</v>
      </c>
      <c r="I26" s="85">
        <v>885</v>
      </c>
      <c r="J26" s="85">
        <v>0</v>
      </c>
      <c r="K26" s="103"/>
    </row>
    <row r="27" spans="2:11" ht="25.5" x14ac:dyDescent="0.2">
      <c r="B27" s="82">
        <v>4349</v>
      </c>
      <c r="C27" s="83">
        <v>5223</v>
      </c>
      <c r="D27" s="83">
        <v>409</v>
      </c>
      <c r="E27" s="83"/>
      <c r="F27" s="84" t="s">
        <v>105</v>
      </c>
      <c r="G27" s="85">
        <v>0</v>
      </c>
      <c r="H27" s="85">
        <v>265</v>
      </c>
      <c r="I27" s="85">
        <v>265</v>
      </c>
      <c r="J27" s="85">
        <v>0</v>
      </c>
      <c r="K27" s="103"/>
    </row>
    <row r="28" spans="2:11" ht="25.5" x14ac:dyDescent="0.2">
      <c r="B28" s="82">
        <v>4349</v>
      </c>
      <c r="C28" s="83">
        <v>5229</v>
      </c>
      <c r="D28" s="83">
        <v>409</v>
      </c>
      <c r="E28" s="83">
        <v>30101000000</v>
      </c>
      <c r="F28" s="84" t="s">
        <v>86</v>
      </c>
      <c r="G28" s="85">
        <v>1250</v>
      </c>
      <c r="H28" s="85">
        <v>0</v>
      </c>
      <c r="I28" s="85">
        <v>0</v>
      </c>
      <c r="J28" s="85">
        <v>0</v>
      </c>
      <c r="K28" s="103">
        <f>J28/G28*100</f>
        <v>0</v>
      </c>
    </row>
    <row r="29" spans="2:11" ht="14.25" x14ac:dyDescent="0.2">
      <c r="B29" s="82"/>
      <c r="C29" s="83"/>
      <c r="D29" s="83"/>
      <c r="E29" s="83"/>
      <c r="F29" s="84"/>
      <c r="G29" s="87">
        <f>SUM(G25:G28)</f>
        <v>1250</v>
      </c>
      <c r="H29" s="87">
        <f>SUM(H25:H28)</f>
        <v>1250</v>
      </c>
      <c r="I29" s="87">
        <f>SUM(I25:I28)</f>
        <v>1250</v>
      </c>
      <c r="J29" s="87">
        <f>SUM(J25:J28)</f>
        <v>0</v>
      </c>
      <c r="K29" s="104">
        <f>J29/G29*100</f>
        <v>0</v>
      </c>
    </row>
    <row r="30" spans="2:11" ht="25.5" customHeight="1" x14ac:dyDescent="0.2">
      <c r="B30" s="82"/>
      <c r="C30" s="83"/>
      <c r="D30" s="83"/>
      <c r="E30" s="83"/>
      <c r="F30" s="276" t="s">
        <v>543</v>
      </c>
      <c r="G30" s="277"/>
      <c r="H30" s="277"/>
      <c r="I30" s="278"/>
      <c r="J30" s="279"/>
      <c r="K30" s="103"/>
    </row>
    <row r="31" spans="2:11" ht="25.5" x14ac:dyDescent="0.2">
      <c r="B31" s="131">
        <v>4349</v>
      </c>
      <c r="C31" s="132">
        <v>5229</v>
      </c>
      <c r="D31" s="132">
        <v>414</v>
      </c>
      <c r="E31" s="132">
        <v>30101000000</v>
      </c>
      <c r="F31" s="97" t="s">
        <v>86</v>
      </c>
      <c r="G31" s="133">
        <v>0</v>
      </c>
      <c r="H31" s="133">
        <v>0</v>
      </c>
      <c r="I31" s="133">
        <v>0</v>
      </c>
      <c r="J31" s="133">
        <v>3000</v>
      </c>
      <c r="K31" s="103"/>
    </row>
    <row r="32" spans="2:11" ht="14.25" x14ac:dyDescent="0.2">
      <c r="B32" s="131"/>
      <c r="C32" s="132"/>
      <c r="D32" s="132"/>
      <c r="E32" s="132"/>
      <c r="F32" s="97"/>
      <c r="G32" s="136">
        <f>SUM(G31)</f>
        <v>0</v>
      </c>
      <c r="H32" s="136">
        <f>SUM(H31)</f>
        <v>0</v>
      </c>
      <c r="I32" s="136">
        <f>SUM(I31)</f>
        <v>0</v>
      </c>
      <c r="J32" s="136">
        <f>SUM(J31)</f>
        <v>3000</v>
      </c>
      <c r="K32" s="104"/>
    </row>
    <row r="33" spans="2:11" ht="15" x14ac:dyDescent="0.2">
      <c r="B33" s="82">
        <v>4399</v>
      </c>
      <c r="C33" s="83">
        <v>5169</v>
      </c>
      <c r="D33" s="83">
        <v>0</v>
      </c>
      <c r="E33" s="83">
        <v>20000000000</v>
      </c>
      <c r="F33" s="84" t="s">
        <v>15</v>
      </c>
      <c r="G33" s="85">
        <v>3953</v>
      </c>
      <c r="H33" s="85">
        <v>3893</v>
      </c>
      <c r="I33" s="85">
        <f>247331/100</f>
        <v>2473.31</v>
      </c>
      <c r="J33" s="85">
        <v>3913</v>
      </c>
      <c r="K33" s="103">
        <f>J33/G33*100</f>
        <v>98.988110295977734</v>
      </c>
    </row>
    <row r="34" spans="2:11" ht="15" x14ac:dyDescent="0.2">
      <c r="B34" s="82"/>
      <c r="C34" s="83"/>
      <c r="D34" s="83"/>
      <c r="E34" s="83"/>
      <c r="F34" s="276" t="s">
        <v>544</v>
      </c>
      <c r="G34" s="277"/>
      <c r="H34" s="277"/>
      <c r="I34" s="278"/>
      <c r="J34" s="279"/>
      <c r="K34" s="103"/>
    </row>
    <row r="35" spans="2:11" ht="15" x14ac:dyDescent="0.2">
      <c r="B35" s="82">
        <v>6172</v>
      </c>
      <c r="C35" s="83">
        <v>5169</v>
      </c>
      <c r="D35" s="83">
        <v>410</v>
      </c>
      <c r="E35" s="83">
        <v>20004000000</v>
      </c>
      <c r="F35" s="84" t="s">
        <v>15</v>
      </c>
      <c r="G35" s="85">
        <v>50</v>
      </c>
      <c r="H35" s="85">
        <v>50</v>
      </c>
      <c r="I35" s="85">
        <v>50</v>
      </c>
      <c r="J35" s="85">
        <v>0</v>
      </c>
      <c r="K35" s="103">
        <f>J35/G35*100</f>
        <v>0</v>
      </c>
    </row>
    <row r="36" spans="2:11" ht="15" x14ac:dyDescent="0.2">
      <c r="B36" s="82">
        <v>4399</v>
      </c>
      <c r="C36" s="83">
        <v>5169</v>
      </c>
      <c r="D36" s="83">
        <v>410</v>
      </c>
      <c r="E36" s="83">
        <v>20000000000</v>
      </c>
      <c r="F36" s="84" t="s">
        <v>15</v>
      </c>
      <c r="G36" s="85">
        <v>125</v>
      </c>
      <c r="H36" s="85">
        <v>100</v>
      </c>
      <c r="I36" s="85">
        <v>0</v>
      </c>
      <c r="J36" s="85">
        <v>50</v>
      </c>
      <c r="K36" s="103">
        <f>J36/G36*100</f>
        <v>40</v>
      </c>
    </row>
    <row r="37" spans="2:11" ht="14.25" x14ac:dyDescent="0.2">
      <c r="B37" s="82"/>
      <c r="C37" s="83"/>
      <c r="D37" s="83"/>
      <c r="E37" s="83"/>
      <c r="F37" s="84"/>
      <c r="G37" s="87">
        <f>SUM(G35:G36)</f>
        <v>175</v>
      </c>
      <c r="H37" s="87">
        <f>SUM(H35:H36)</f>
        <v>150</v>
      </c>
      <c r="I37" s="87">
        <f>SUM(I35:I36)</f>
        <v>50</v>
      </c>
      <c r="J37" s="87">
        <f>SUM(J35:J36)</f>
        <v>50</v>
      </c>
      <c r="K37" s="104">
        <f>J37/G37*100</f>
        <v>28.571428571428569</v>
      </c>
    </row>
    <row r="38" spans="2:11" ht="14.25" x14ac:dyDescent="0.2">
      <c r="B38" s="82"/>
      <c r="C38" s="83"/>
      <c r="D38" s="83"/>
      <c r="E38" s="83"/>
      <c r="F38" s="276" t="s">
        <v>545</v>
      </c>
      <c r="G38" s="277"/>
      <c r="H38" s="277"/>
      <c r="I38" s="278"/>
      <c r="J38" s="279"/>
      <c r="K38" s="104"/>
    </row>
    <row r="39" spans="2:11" ht="15" x14ac:dyDescent="0.2">
      <c r="B39" s="82">
        <v>4399</v>
      </c>
      <c r="C39" s="83">
        <v>5169</v>
      </c>
      <c r="D39" s="83">
        <v>411</v>
      </c>
      <c r="E39" s="83">
        <v>20004000000</v>
      </c>
      <c r="F39" s="84" t="s">
        <v>15</v>
      </c>
      <c r="G39" s="85">
        <v>25</v>
      </c>
      <c r="H39" s="85">
        <v>25</v>
      </c>
      <c r="I39" s="85">
        <v>0</v>
      </c>
      <c r="J39" s="85">
        <v>25</v>
      </c>
      <c r="K39" s="103">
        <f>J39/G39*100</f>
        <v>100</v>
      </c>
    </row>
    <row r="40" spans="2:11" ht="14.25" x14ac:dyDescent="0.2">
      <c r="B40" s="82"/>
      <c r="C40" s="83"/>
      <c r="D40" s="83"/>
      <c r="E40" s="83"/>
      <c r="F40" s="84"/>
      <c r="G40" s="87">
        <f>SUM(G39)</f>
        <v>25</v>
      </c>
      <c r="H40" s="87">
        <f>SUM(H39)</f>
        <v>25</v>
      </c>
      <c r="I40" s="87">
        <f>SUM(I39)</f>
        <v>0</v>
      </c>
      <c r="J40" s="87">
        <f>SUM(J39)</f>
        <v>25</v>
      </c>
      <c r="K40" s="104">
        <f>J40/G40*100</f>
        <v>100</v>
      </c>
    </row>
    <row r="41" spans="2:11" ht="15" x14ac:dyDescent="0.2">
      <c r="B41" s="82"/>
      <c r="C41" s="83"/>
      <c r="D41" s="83"/>
      <c r="E41" s="83"/>
      <c r="F41" s="276" t="s">
        <v>546</v>
      </c>
      <c r="G41" s="277"/>
      <c r="H41" s="277"/>
      <c r="I41" s="278"/>
      <c r="J41" s="279"/>
      <c r="K41" s="103"/>
    </row>
    <row r="42" spans="2:11" ht="15" x14ac:dyDescent="0.2">
      <c r="B42" s="82">
        <v>4399</v>
      </c>
      <c r="C42" s="83">
        <v>5169</v>
      </c>
      <c r="D42" s="83">
        <v>412</v>
      </c>
      <c r="E42" s="83">
        <v>20004000000</v>
      </c>
      <c r="F42" s="84" t="s">
        <v>15</v>
      </c>
      <c r="G42" s="85">
        <v>250</v>
      </c>
      <c r="H42" s="85">
        <v>230</v>
      </c>
      <c r="I42" s="85">
        <v>0</v>
      </c>
      <c r="J42" s="85">
        <v>900</v>
      </c>
      <c r="K42" s="103">
        <f>J42/G42*100</f>
        <v>360</v>
      </c>
    </row>
    <row r="43" spans="2:11" ht="15" x14ac:dyDescent="0.2">
      <c r="B43" s="82">
        <v>4399</v>
      </c>
      <c r="C43" s="83">
        <v>5175</v>
      </c>
      <c r="D43" s="83">
        <v>412</v>
      </c>
      <c r="E43" s="83">
        <v>20004000000</v>
      </c>
      <c r="F43" s="84" t="s">
        <v>21</v>
      </c>
      <c r="G43" s="85">
        <v>160</v>
      </c>
      <c r="H43" s="85">
        <f>8869/100</f>
        <v>88.69</v>
      </c>
      <c r="I43" s="85">
        <f>88/100</f>
        <v>0.88</v>
      </c>
      <c r="J43" s="85">
        <v>0</v>
      </c>
      <c r="K43" s="103">
        <f>J43/G43*100</f>
        <v>0</v>
      </c>
    </row>
    <row r="44" spans="2:11" ht="14.25" x14ac:dyDescent="0.2">
      <c r="B44" s="134"/>
      <c r="C44" s="135"/>
      <c r="D44" s="135"/>
      <c r="E44" s="135"/>
      <c r="F44" s="135"/>
      <c r="G44" s="137">
        <f>SUM(G42:G43)</f>
        <v>410</v>
      </c>
      <c r="H44" s="137">
        <f>SUM(H42:H43)</f>
        <v>318.69</v>
      </c>
      <c r="I44" s="137">
        <f>SUM(I42:I43)</f>
        <v>0.88</v>
      </c>
      <c r="J44" s="137">
        <f>SUM(J42:J43)</f>
        <v>900</v>
      </c>
      <c r="K44" s="104">
        <f>J44/G44*100</f>
        <v>219.51219512195124</v>
      </c>
    </row>
    <row r="45" spans="2:11" ht="15" x14ac:dyDescent="0.2">
      <c r="B45" s="82">
        <v>4399</v>
      </c>
      <c r="C45" s="83">
        <v>5175</v>
      </c>
      <c r="D45" s="83">
        <v>0</v>
      </c>
      <c r="E45" s="83">
        <v>20000000000</v>
      </c>
      <c r="F45" s="84" t="s">
        <v>21</v>
      </c>
      <c r="G45" s="85">
        <v>0</v>
      </c>
      <c r="H45" s="85">
        <f>2781/100</f>
        <v>27.81</v>
      </c>
      <c r="I45" s="85">
        <f>2764/100</f>
        <v>27.64</v>
      </c>
      <c r="J45" s="85">
        <v>80</v>
      </c>
      <c r="K45" s="103"/>
    </row>
    <row r="46" spans="2:11" ht="15" x14ac:dyDescent="0.2">
      <c r="B46" s="82">
        <v>6172</v>
      </c>
      <c r="C46" s="83">
        <v>5161</v>
      </c>
      <c r="D46" s="83">
        <v>0</v>
      </c>
      <c r="E46" s="83">
        <v>20000000000</v>
      </c>
      <c r="F46" s="84" t="s">
        <v>90</v>
      </c>
      <c r="G46" s="85">
        <v>5</v>
      </c>
      <c r="H46" s="85">
        <v>5</v>
      </c>
      <c r="I46" s="85">
        <f>135/100</f>
        <v>1.35</v>
      </c>
      <c r="J46" s="85">
        <v>5</v>
      </c>
      <c r="K46" s="103">
        <f>J46/G46*100</f>
        <v>100</v>
      </c>
    </row>
    <row r="47" spans="2:11" ht="15" x14ac:dyDescent="0.2">
      <c r="B47" s="82">
        <v>6172</v>
      </c>
      <c r="C47" s="83">
        <v>5169</v>
      </c>
      <c r="D47" s="83">
        <v>0</v>
      </c>
      <c r="E47" s="83">
        <v>20000000000</v>
      </c>
      <c r="F47" s="84" t="s">
        <v>15</v>
      </c>
      <c r="G47" s="85">
        <v>20</v>
      </c>
      <c r="H47" s="85">
        <v>20</v>
      </c>
      <c r="I47" s="85">
        <v>0</v>
      </c>
      <c r="J47" s="85">
        <v>10</v>
      </c>
      <c r="K47" s="103">
        <f>J47/G47*100</f>
        <v>50</v>
      </c>
    </row>
    <row r="48" spans="2:11" ht="15" x14ac:dyDescent="0.2">
      <c r="B48" s="82">
        <v>6172</v>
      </c>
      <c r="C48" s="83">
        <v>5169</v>
      </c>
      <c r="D48" s="83">
        <v>0</v>
      </c>
      <c r="E48" s="83">
        <v>20004000000</v>
      </c>
      <c r="F48" s="84" t="s">
        <v>15</v>
      </c>
      <c r="G48" s="85">
        <v>130</v>
      </c>
      <c r="H48" s="85">
        <f>3906/100</f>
        <v>39.06</v>
      </c>
      <c r="I48" s="85">
        <v>0</v>
      </c>
      <c r="J48" s="85">
        <v>0</v>
      </c>
      <c r="K48" s="103">
        <f>J48/G48*100</f>
        <v>0</v>
      </c>
    </row>
    <row r="49" spans="2:11" ht="25.5" x14ac:dyDescent="0.2">
      <c r="B49" s="82">
        <v>6172</v>
      </c>
      <c r="C49" s="83">
        <v>5192</v>
      </c>
      <c r="D49" s="83">
        <v>0</v>
      </c>
      <c r="E49" s="83">
        <v>20000000000</v>
      </c>
      <c r="F49" s="84" t="s">
        <v>63</v>
      </c>
      <c r="G49" s="85">
        <v>50</v>
      </c>
      <c r="H49" s="85">
        <v>50</v>
      </c>
      <c r="I49" s="85">
        <f>83/100</f>
        <v>0.83</v>
      </c>
      <c r="J49" s="85">
        <v>20</v>
      </c>
      <c r="K49" s="103">
        <f>J49/G49*100</f>
        <v>40</v>
      </c>
    </row>
    <row r="50" spans="2:11" ht="25.5" x14ac:dyDescent="0.2">
      <c r="B50" s="82">
        <v>4399</v>
      </c>
      <c r="C50" s="83">
        <v>5166</v>
      </c>
      <c r="D50" s="83">
        <v>0</v>
      </c>
      <c r="E50" s="83">
        <v>20004000000</v>
      </c>
      <c r="F50" s="84" t="s">
        <v>42</v>
      </c>
      <c r="G50" s="85">
        <v>0</v>
      </c>
      <c r="H50" s="85">
        <v>2000</v>
      </c>
      <c r="I50" s="85">
        <v>0</v>
      </c>
      <c r="J50" s="85">
        <v>0</v>
      </c>
      <c r="K50" s="103"/>
    </row>
    <row r="51" spans="2:11" ht="15" x14ac:dyDescent="0.2">
      <c r="B51" s="82">
        <v>4399</v>
      </c>
      <c r="C51" s="83">
        <v>5164</v>
      </c>
      <c r="D51" s="83">
        <v>0</v>
      </c>
      <c r="E51" s="83">
        <v>20000000000</v>
      </c>
      <c r="F51" s="84" t="s">
        <v>20</v>
      </c>
      <c r="G51" s="85">
        <v>0</v>
      </c>
      <c r="H51" s="85">
        <f>350/100</f>
        <v>3.5</v>
      </c>
      <c r="I51" s="85">
        <f>350/100</f>
        <v>3.5</v>
      </c>
      <c r="J51" s="85">
        <v>0</v>
      </c>
      <c r="K51" s="103"/>
    </row>
    <row r="52" spans="2:11" ht="15.75" thickBot="1" x14ac:dyDescent="0.25">
      <c r="B52" s="138">
        <v>6172</v>
      </c>
      <c r="C52" s="139">
        <v>5164</v>
      </c>
      <c r="D52" s="139">
        <v>0</v>
      </c>
      <c r="E52" s="139">
        <v>20004000000</v>
      </c>
      <c r="F52" s="140" t="s">
        <v>20</v>
      </c>
      <c r="G52" s="141">
        <v>0</v>
      </c>
      <c r="H52" s="141">
        <f>1094/100</f>
        <v>10.94</v>
      </c>
      <c r="I52" s="141">
        <f>1094/100</f>
        <v>10.94</v>
      </c>
      <c r="J52" s="141">
        <v>0</v>
      </c>
      <c r="K52" s="142"/>
    </row>
    <row r="53" spans="2:11" ht="15.75" thickTop="1" x14ac:dyDescent="0.2">
      <c r="B53" s="118"/>
      <c r="C53" s="118"/>
      <c r="D53" s="118"/>
      <c r="E53" s="118"/>
      <c r="F53" s="119"/>
      <c r="G53" s="31"/>
      <c r="H53" s="31"/>
      <c r="I53" s="31"/>
      <c r="J53" s="31"/>
      <c r="K53" s="109"/>
    </row>
    <row r="54" spans="2:11" ht="15" x14ac:dyDescent="0.2">
      <c r="B54" s="118"/>
      <c r="C54" s="118"/>
      <c r="D54" s="118"/>
      <c r="E54" s="118"/>
      <c r="F54" s="119"/>
      <c r="G54" s="31"/>
      <c r="H54" s="31"/>
      <c r="I54" s="31"/>
      <c r="J54" s="31"/>
      <c r="K54" s="109"/>
    </row>
    <row r="55" spans="2:11" ht="13.5" thickBot="1" x14ac:dyDescent="0.25">
      <c r="B55" s="5"/>
      <c r="C55" s="5"/>
      <c r="D55" s="5"/>
      <c r="E55" s="5"/>
      <c r="F55" s="5"/>
      <c r="G55" s="5"/>
      <c r="H55" s="5"/>
      <c r="I55" s="5"/>
      <c r="J55" s="5"/>
      <c r="K55" s="99" t="s">
        <v>3</v>
      </c>
    </row>
    <row r="56" spans="2:11" ht="35.1" customHeight="1" x14ac:dyDescent="0.2">
      <c r="B56" s="7" t="s">
        <v>4</v>
      </c>
      <c r="C56" s="8" t="s">
        <v>5</v>
      </c>
      <c r="D56" s="8" t="s">
        <v>6</v>
      </c>
      <c r="E56" s="8" t="s">
        <v>7</v>
      </c>
      <c r="F56" s="6" t="s">
        <v>8</v>
      </c>
      <c r="G56" s="6" t="s">
        <v>9</v>
      </c>
      <c r="H56" s="6" t="s">
        <v>10</v>
      </c>
      <c r="I56" s="6" t="s">
        <v>11</v>
      </c>
      <c r="J56" s="6" t="s">
        <v>12</v>
      </c>
      <c r="K56" s="100" t="s">
        <v>13</v>
      </c>
    </row>
    <row r="57" spans="2:11" ht="13.5" thickBot="1" x14ac:dyDescent="0.25">
      <c r="B57" s="10">
        <v>1</v>
      </c>
      <c r="C57" s="11">
        <v>2</v>
      </c>
      <c r="D57" s="11">
        <v>3</v>
      </c>
      <c r="E57" s="11">
        <v>4</v>
      </c>
      <c r="F57" s="12">
        <v>5</v>
      </c>
      <c r="G57" s="12">
        <v>6</v>
      </c>
      <c r="H57" s="12">
        <v>7</v>
      </c>
      <c r="I57" s="12">
        <v>8</v>
      </c>
      <c r="J57" s="12">
        <v>9</v>
      </c>
      <c r="K57" s="101" t="s">
        <v>14</v>
      </c>
    </row>
    <row r="58" spans="2:11" ht="15" x14ac:dyDescent="0.2">
      <c r="B58" s="82"/>
      <c r="C58" s="83"/>
      <c r="D58" s="83"/>
      <c r="E58" s="83"/>
      <c r="F58" s="276" t="s">
        <v>547</v>
      </c>
      <c r="G58" s="277"/>
      <c r="H58" s="277"/>
      <c r="I58" s="278"/>
      <c r="J58" s="279"/>
      <c r="K58" s="103"/>
    </row>
    <row r="59" spans="2:11" ht="15" x14ac:dyDescent="0.2">
      <c r="B59" s="82">
        <v>4399</v>
      </c>
      <c r="C59" s="83">
        <v>5139</v>
      </c>
      <c r="D59" s="83">
        <v>413</v>
      </c>
      <c r="E59" s="83">
        <v>60002100686</v>
      </c>
      <c r="F59" s="84" t="s">
        <v>18</v>
      </c>
      <c r="G59" s="85">
        <v>0</v>
      </c>
      <c r="H59" s="85">
        <v>46</v>
      </c>
      <c r="I59" s="85">
        <f>2275/100</f>
        <v>22.75</v>
      </c>
      <c r="J59" s="85">
        <v>0</v>
      </c>
      <c r="K59" s="103"/>
    </row>
    <row r="60" spans="2:11" ht="15" x14ac:dyDescent="0.2">
      <c r="B60" s="82">
        <v>4399</v>
      </c>
      <c r="C60" s="83">
        <v>5142</v>
      </c>
      <c r="D60" s="83">
        <v>413</v>
      </c>
      <c r="E60" s="83">
        <v>60002100686</v>
      </c>
      <c r="F60" s="84" t="s">
        <v>133</v>
      </c>
      <c r="G60" s="85">
        <v>0</v>
      </c>
      <c r="H60" s="85">
        <v>10</v>
      </c>
      <c r="I60" s="85">
        <v>0</v>
      </c>
      <c r="J60" s="85">
        <v>0</v>
      </c>
      <c r="K60" s="103"/>
    </row>
    <row r="61" spans="2:11" ht="15" x14ac:dyDescent="0.2">
      <c r="B61" s="82">
        <v>4399</v>
      </c>
      <c r="C61" s="83">
        <v>5164</v>
      </c>
      <c r="D61" s="83">
        <v>413</v>
      </c>
      <c r="E61" s="83">
        <v>60002100686</v>
      </c>
      <c r="F61" s="84" t="s">
        <v>20</v>
      </c>
      <c r="G61" s="85">
        <v>0</v>
      </c>
      <c r="H61" s="85">
        <f>342/100</f>
        <v>3.42</v>
      </c>
      <c r="I61" s="85">
        <v>0</v>
      </c>
      <c r="J61" s="85">
        <v>0</v>
      </c>
      <c r="K61" s="103"/>
    </row>
    <row r="62" spans="2:11" ht="15" x14ac:dyDescent="0.2">
      <c r="B62" s="82">
        <v>4399</v>
      </c>
      <c r="C62" s="83">
        <v>5169</v>
      </c>
      <c r="D62" s="83">
        <v>413</v>
      </c>
      <c r="E62" s="83">
        <v>60002100686</v>
      </c>
      <c r="F62" s="84" t="s">
        <v>15</v>
      </c>
      <c r="G62" s="85">
        <v>0</v>
      </c>
      <c r="H62" s="85">
        <v>144</v>
      </c>
      <c r="I62" s="85">
        <f>60/100</f>
        <v>0.6</v>
      </c>
      <c r="J62" s="85">
        <v>0</v>
      </c>
      <c r="K62" s="103"/>
    </row>
    <row r="63" spans="2:11" ht="15" x14ac:dyDescent="0.2">
      <c r="B63" s="82">
        <v>4399</v>
      </c>
      <c r="C63" s="83">
        <v>5173</v>
      </c>
      <c r="D63" s="83">
        <v>413</v>
      </c>
      <c r="E63" s="83">
        <v>60002100686</v>
      </c>
      <c r="F63" s="84" t="s">
        <v>44</v>
      </c>
      <c r="G63" s="85">
        <v>0</v>
      </c>
      <c r="H63" s="85">
        <v>165</v>
      </c>
      <c r="I63" s="85">
        <v>0</v>
      </c>
      <c r="J63" s="85">
        <v>0</v>
      </c>
      <c r="K63" s="103"/>
    </row>
    <row r="64" spans="2:11" ht="15" x14ac:dyDescent="0.2">
      <c r="B64" s="82">
        <v>4399</v>
      </c>
      <c r="C64" s="83">
        <v>5175</v>
      </c>
      <c r="D64" s="83">
        <v>413</v>
      </c>
      <c r="E64" s="83">
        <v>60002100686</v>
      </c>
      <c r="F64" s="84" t="s">
        <v>21</v>
      </c>
      <c r="G64" s="85">
        <v>0</v>
      </c>
      <c r="H64" s="85">
        <v>77</v>
      </c>
      <c r="I64" s="85">
        <v>0</v>
      </c>
      <c r="J64" s="85">
        <v>0</v>
      </c>
      <c r="K64" s="103"/>
    </row>
    <row r="65" spans="2:11" ht="25.5" x14ac:dyDescent="0.2">
      <c r="B65" s="82">
        <v>4399</v>
      </c>
      <c r="C65" s="83">
        <v>5532</v>
      </c>
      <c r="D65" s="83">
        <v>413</v>
      </c>
      <c r="E65" s="83">
        <v>30106000000</v>
      </c>
      <c r="F65" s="84" t="s">
        <v>52</v>
      </c>
      <c r="G65" s="85">
        <v>0</v>
      </c>
      <c r="H65" s="85">
        <f>21622/100</f>
        <v>216.22</v>
      </c>
      <c r="I65" s="85">
        <f>21622/100</f>
        <v>216.22</v>
      </c>
      <c r="J65" s="85">
        <v>0</v>
      </c>
      <c r="K65" s="103"/>
    </row>
    <row r="66" spans="2:11" ht="15.75" thickBot="1" x14ac:dyDescent="0.25">
      <c r="B66" s="82">
        <v>4399</v>
      </c>
      <c r="C66" s="83">
        <v>5901</v>
      </c>
      <c r="D66" s="83">
        <v>413</v>
      </c>
      <c r="E66" s="83">
        <v>60002100686</v>
      </c>
      <c r="F66" s="84" t="s">
        <v>17</v>
      </c>
      <c r="G66" s="85">
        <v>0</v>
      </c>
      <c r="H66" s="85">
        <f>114/100</f>
        <v>1.1399999999999999</v>
      </c>
      <c r="I66" s="85">
        <v>0</v>
      </c>
      <c r="J66" s="85">
        <v>0</v>
      </c>
      <c r="K66" s="103"/>
    </row>
    <row r="67" spans="2:11" ht="15.75" thickBot="1" x14ac:dyDescent="0.25">
      <c r="B67" s="18" t="s">
        <v>25</v>
      </c>
      <c r="C67" s="19"/>
      <c r="D67" s="19"/>
      <c r="E67" s="19"/>
      <c r="F67" s="20"/>
      <c r="G67" s="21">
        <f>SUM(G59:G66,G45:G52,G44,G40,G37,G33,G32,G29,G23,G17,G10:G11)</f>
        <v>9968</v>
      </c>
      <c r="H67" s="21">
        <f>SUM(H59:H66,H45:H52,H44,H40,H37,H33,H32,H29,H23,H17,H10:H11)</f>
        <v>12396.779999999999</v>
      </c>
      <c r="I67" s="21">
        <f>SUM(I59:I66,I45:I52,I44,I40,I37,I33,I32,I29,I23,I17,I10:I11)</f>
        <v>6573.1200000000008</v>
      </c>
      <c r="J67" s="21">
        <f>SUM(J59:J66,J45:J52,J44,J40,J37,J33,J32,J29,J23,J17,J10:J11)</f>
        <v>9583</v>
      </c>
      <c r="K67" s="106">
        <f>J67/G67*100</f>
        <v>96.137640449438194</v>
      </c>
    </row>
    <row r="68" spans="2:11" x14ac:dyDescent="0.2">
      <c r="F68" s="1"/>
      <c r="G68" s="1"/>
      <c r="H68" s="1"/>
      <c r="I68" s="1"/>
      <c r="J68" s="1"/>
    </row>
    <row r="69" spans="2:11" s="123" customFormat="1" ht="14.25" x14ac:dyDescent="0.2">
      <c r="B69" s="122"/>
      <c r="F69" s="185"/>
      <c r="G69" s="185"/>
      <c r="H69" s="185"/>
      <c r="I69" s="185"/>
      <c r="J69" s="185"/>
      <c r="K69" s="186"/>
    </row>
    <row r="70" spans="2:11" s="123" customFormat="1" ht="14.25" x14ac:dyDescent="0.2">
      <c r="F70" s="185"/>
      <c r="G70" s="185"/>
      <c r="H70" s="185"/>
      <c r="I70" s="185"/>
      <c r="J70" s="185"/>
      <c r="K70" s="186"/>
    </row>
    <row r="71" spans="2:11" s="123" customFormat="1" ht="14.25" x14ac:dyDescent="0.2">
      <c r="F71" s="185"/>
      <c r="G71" s="185"/>
      <c r="H71" s="185"/>
      <c r="I71" s="185"/>
      <c r="J71" s="185"/>
      <c r="K71" s="186"/>
    </row>
    <row r="72" spans="2:11" s="123" customFormat="1" ht="15.75" thickBot="1" x14ac:dyDescent="0.25">
      <c r="B72" s="22" t="s">
        <v>134</v>
      </c>
      <c r="C72" s="22"/>
      <c r="D72" s="22"/>
      <c r="E72" s="22"/>
      <c r="F72" s="23"/>
      <c r="G72" s="23"/>
      <c r="H72" s="24"/>
      <c r="I72" s="24"/>
      <c r="J72" s="24">
        <v>900</v>
      </c>
      <c r="K72" s="108" t="s">
        <v>27</v>
      </c>
    </row>
    <row r="73" spans="2:11" s="123" customFormat="1" ht="176.25" customHeight="1" thickTop="1" x14ac:dyDescent="0.2">
      <c r="B73" s="265" t="s">
        <v>540</v>
      </c>
      <c r="C73" s="266"/>
      <c r="D73" s="266"/>
      <c r="E73" s="266"/>
      <c r="F73" s="266"/>
      <c r="G73" s="266"/>
      <c r="H73" s="266"/>
      <c r="I73" s="266"/>
      <c r="J73" s="266"/>
      <c r="K73" s="266"/>
    </row>
    <row r="74" spans="2:11" s="123" customFormat="1" ht="15.75" thickBot="1" x14ac:dyDescent="0.25">
      <c r="B74" s="22" t="s">
        <v>135</v>
      </c>
      <c r="C74" s="22"/>
      <c r="D74" s="22"/>
      <c r="E74" s="22"/>
      <c r="F74" s="23"/>
      <c r="G74" s="23"/>
      <c r="H74" s="24"/>
      <c r="I74" s="24"/>
      <c r="J74" s="24">
        <v>430</v>
      </c>
      <c r="K74" s="108" t="s">
        <v>27</v>
      </c>
    </row>
    <row r="75" spans="2:11" s="123" customFormat="1" ht="305.25" customHeight="1" thickTop="1" x14ac:dyDescent="0.2">
      <c r="B75" s="265" t="s">
        <v>677</v>
      </c>
      <c r="C75" s="266"/>
      <c r="D75" s="266"/>
      <c r="E75" s="266"/>
      <c r="F75" s="266"/>
      <c r="G75" s="266"/>
      <c r="H75" s="266"/>
      <c r="I75" s="266"/>
      <c r="J75" s="266"/>
      <c r="K75" s="266"/>
    </row>
    <row r="76" spans="2:11" s="123" customFormat="1" ht="16.5" customHeight="1" x14ac:dyDescent="0.2">
      <c r="B76" s="273" t="s">
        <v>539</v>
      </c>
      <c r="C76" s="274"/>
      <c r="D76" s="274"/>
      <c r="E76" s="274"/>
      <c r="F76" s="274"/>
      <c r="G76" s="308"/>
      <c r="H76" s="308"/>
      <c r="I76" s="308"/>
      <c r="J76" s="187"/>
      <c r="K76" s="187"/>
    </row>
    <row r="77" spans="2:11" s="123" customFormat="1" ht="15.75" thickBot="1" x14ac:dyDescent="0.25">
      <c r="B77" s="22" t="s">
        <v>654</v>
      </c>
      <c r="C77" s="22"/>
      <c r="D77" s="22"/>
      <c r="E77" s="22"/>
      <c r="F77" s="23"/>
      <c r="G77" s="23"/>
      <c r="H77" s="24"/>
      <c r="I77" s="24"/>
      <c r="J77" s="24">
        <v>100</v>
      </c>
      <c r="K77" s="108" t="s">
        <v>27</v>
      </c>
    </row>
    <row r="78" spans="2:11" s="123" customFormat="1" ht="89.25" customHeight="1" thickTop="1" x14ac:dyDescent="0.2">
      <c r="B78" s="265" t="s">
        <v>653</v>
      </c>
      <c r="C78" s="266"/>
      <c r="D78" s="266"/>
      <c r="E78" s="266"/>
      <c r="F78" s="266"/>
      <c r="G78" s="266"/>
      <c r="H78" s="266"/>
      <c r="I78" s="266"/>
      <c r="J78" s="266"/>
      <c r="K78" s="266"/>
    </row>
    <row r="79" spans="2:11" s="123" customFormat="1" ht="16.5" customHeight="1" x14ac:dyDescent="0.2">
      <c r="B79" s="191"/>
      <c r="C79" s="187"/>
      <c r="D79" s="187"/>
      <c r="E79" s="187"/>
      <c r="F79" s="187"/>
      <c r="G79" s="187"/>
      <c r="H79" s="187"/>
      <c r="I79" s="187"/>
      <c r="J79" s="187"/>
      <c r="K79" s="187"/>
    </row>
    <row r="80" spans="2:11" s="123" customFormat="1" ht="16.5" customHeight="1" x14ac:dyDescent="0.2">
      <c r="B80" s="191"/>
      <c r="C80" s="187"/>
      <c r="D80" s="187"/>
      <c r="E80" s="187"/>
      <c r="F80" s="187"/>
      <c r="G80" s="187"/>
      <c r="H80" s="187"/>
      <c r="I80" s="187"/>
      <c r="J80" s="187"/>
      <c r="K80" s="187"/>
    </row>
    <row r="81" spans="2:11" s="123" customFormat="1" ht="16.5" customHeight="1" x14ac:dyDescent="0.2">
      <c r="B81" s="191"/>
      <c r="C81" s="187"/>
      <c r="D81" s="187"/>
      <c r="E81" s="187"/>
      <c r="F81" s="187"/>
      <c r="G81" s="187"/>
      <c r="H81" s="187"/>
      <c r="I81" s="187"/>
      <c r="J81" s="187"/>
      <c r="K81" s="187"/>
    </row>
    <row r="82" spans="2:11" s="123" customFormat="1" ht="16.5" customHeight="1" x14ac:dyDescent="0.2">
      <c r="B82" s="191"/>
      <c r="C82" s="187"/>
      <c r="D82" s="187"/>
      <c r="E82" s="187"/>
      <c r="F82" s="187"/>
      <c r="G82" s="187"/>
      <c r="H82" s="187"/>
      <c r="I82" s="187"/>
      <c r="J82" s="187"/>
      <c r="K82" s="187"/>
    </row>
    <row r="83" spans="2:11" s="123" customFormat="1" ht="16.5" customHeight="1" x14ac:dyDescent="0.2">
      <c r="B83" s="191"/>
      <c r="C83" s="187"/>
      <c r="D83" s="187"/>
      <c r="E83" s="187"/>
      <c r="F83" s="187"/>
      <c r="G83" s="187"/>
      <c r="H83" s="187"/>
      <c r="I83" s="187"/>
      <c r="J83" s="187"/>
      <c r="K83" s="187"/>
    </row>
    <row r="84" spans="2:11" s="123" customFormat="1" ht="16.5" customHeight="1" x14ac:dyDescent="0.2">
      <c r="B84" s="191"/>
      <c r="C84" s="187"/>
      <c r="D84" s="187"/>
      <c r="E84" s="187"/>
      <c r="F84" s="187"/>
      <c r="G84" s="187"/>
      <c r="H84" s="187"/>
      <c r="I84" s="187"/>
      <c r="J84" s="187"/>
      <c r="K84" s="187"/>
    </row>
    <row r="85" spans="2:11" s="123" customFormat="1" ht="16.5" customHeight="1" x14ac:dyDescent="0.2">
      <c r="B85" s="273" t="s">
        <v>541</v>
      </c>
      <c r="C85" s="274"/>
      <c r="D85" s="274"/>
      <c r="E85" s="274"/>
      <c r="F85" s="274"/>
      <c r="G85" s="308"/>
      <c r="H85" s="308"/>
      <c r="I85" s="308"/>
      <c r="J85" s="308"/>
      <c r="K85" s="308"/>
    </row>
    <row r="86" spans="2:11" s="123" customFormat="1" ht="15.75" thickBot="1" x14ac:dyDescent="0.25">
      <c r="B86" s="22" t="s">
        <v>655</v>
      </c>
      <c r="C86" s="22"/>
      <c r="D86" s="22"/>
      <c r="E86" s="22"/>
      <c r="F86" s="23"/>
      <c r="G86" s="23"/>
      <c r="H86" s="24"/>
      <c r="I86" s="24"/>
      <c r="J86" s="24">
        <v>150</v>
      </c>
      <c r="K86" s="108" t="s">
        <v>27</v>
      </c>
    </row>
    <row r="87" spans="2:11" s="123" customFormat="1" ht="87" customHeight="1" thickTop="1" x14ac:dyDescent="0.2">
      <c r="B87" s="269" t="s">
        <v>656</v>
      </c>
      <c r="C87" s="270"/>
      <c r="D87" s="270"/>
      <c r="E87" s="270"/>
      <c r="F87" s="270"/>
      <c r="G87" s="270"/>
      <c r="H87" s="270"/>
      <c r="I87" s="270"/>
      <c r="J87" s="270"/>
      <c r="K87" s="270"/>
    </row>
    <row r="88" spans="2:11" s="123" customFormat="1" ht="16.5" customHeight="1" x14ac:dyDescent="0.2">
      <c r="B88" s="192"/>
      <c r="C88" s="125"/>
      <c r="D88" s="125"/>
      <c r="E88" s="125"/>
      <c r="F88" s="125"/>
      <c r="G88" s="125"/>
      <c r="H88" s="125"/>
      <c r="I88" s="125"/>
      <c r="J88" s="125"/>
      <c r="K88" s="125"/>
    </row>
    <row r="89" spans="2:11" s="123" customFormat="1" ht="15.75" customHeight="1" x14ac:dyDescent="0.2">
      <c r="B89" s="273" t="s">
        <v>543</v>
      </c>
      <c r="C89" s="274"/>
      <c r="D89" s="274"/>
      <c r="E89" s="274"/>
      <c r="F89" s="274"/>
      <c r="G89" s="308"/>
      <c r="H89" s="308"/>
      <c r="I89" s="308"/>
      <c r="J89" s="308"/>
      <c r="K89" s="308"/>
    </row>
    <row r="90" spans="2:11" s="123" customFormat="1" ht="15.75" thickBot="1" x14ac:dyDescent="0.25">
      <c r="B90" s="22" t="s">
        <v>657</v>
      </c>
      <c r="C90" s="22"/>
      <c r="D90" s="22"/>
      <c r="E90" s="22"/>
      <c r="F90" s="23"/>
      <c r="G90" s="23"/>
      <c r="H90" s="24"/>
      <c r="I90" s="24"/>
      <c r="J90" s="24">
        <v>3000</v>
      </c>
      <c r="K90" s="108" t="s">
        <v>27</v>
      </c>
    </row>
    <row r="91" spans="2:11" s="123" customFormat="1" ht="111" customHeight="1" thickTop="1" x14ac:dyDescent="0.2">
      <c r="B91" s="265" t="s">
        <v>658</v>
      </c>
      <c r="C91" s="266"/>
      <c r="D91" s="266"/>
      <c r="E91" s="266"/>
      <c r="F91" s="266"/>
      <c r="G91" s="266"/>
      <c r="H91" s="266"/>
      <c r="I91" s="266"/>
      <c r="J91" s="266"/>
      <c r="K91" s="266"/>
    </row>
    <row r="92" spans="2:11" s="123" customFormat="1" ht="15.75" thickBot="1" x14ac:dyDescent="0.25">
      <c r="B92" s="22" t="s">
        <v>60</v>
      </c>
      <c r="C92" s="22"/>
      <c r="D92" s="22"/>
      <c r="E92" s="22"/>
      <c r="F92" s="23"/>
      <c r="G92" s="23"/>
      <c r="H92" s="24"/>
      <c r="I92" s="24"/>
      <c r="J92" s="24">
        <v>3913</v>
      </c>
      <c r="K92" s="108" t="s">
        <v>27</v>
      </c>
    </row>
    <row r="93" spans="2:11" s="123" customFormat="1" ht="402" customHeight="1" thickTop="1" x14ac:dyDescent="0.2">
      <c r="B93" s="265" t="s">
        <v>678</v>
      </c>
      <c r="C93" s="266"/>
      <c r="D93" s="266"/>
      <c r="E93" s="266"/>
      <c r="F93" s="266"/>
      <c r="G93" s="266"/>
      <c r="H93" s="266"/>
      <c r="I93" s="266"/>
      <c r="J93" s="266"/>
      <c r="K93" s="266"/>
    </row>
    <row r="94" spans="2:11" s="123" customFormat="1" ht="195.75" hidden="1" customHeight="1" x14ac:dyDescent="0.2">
      <c r="B94" s="310"/>
      <c r="C94" s="310"/>
      <c r="D94" s="310"/>
      <c r="E94" s="310"/>
      <c r="F94" s="310"/>
      <c r="G94" s="310"/>
      <c r="H94" s="310"/>
      <c r="I94" s="310"/>
      <c r="J94" s="310"/>
      <c r="K94" s="310"/>
    </row>
    <row r="95" spans="2:11" s="123" customFormat="1" ht="279.75" customHeight="1" x14ac:dyDescent="0.2">
      <c r="B95" s="310" t="s">
        <v>659</v>
      </c>
      <c r="C95" s="280"/>
      <c r="D95" s="280"/>
      <c r="E95" s="280"/>
      <c r="F95" s="280"/>
      <c r="G95" s="280"/>
      <c r="H95" s="280"/>
      <c r="I95" s="280"/>
      <c r="J95" s="280"/>
      <c r="K95" s="280"/>
    </row>
    <row r="96" spans="2:11" s="123" customFormat="1" ht="16.5" customHeight="1" x14ac:dyDescent="0.2">
      <c r="B96" s="243"/>
      <c r="C96" s="239"/>
      <c r="D96" s="239"/>
      <c r="E96" s="239"/>
      <c r="F96" s="239"/>
      <c r="G96" s="239"/>
      <c r="H96" s="239"/>
      <c r="I96" s="239"/>
      <c r="J96" s="239"/>
      <c r="K96" s="239"/>
    </row>
    <row r="97" spans="2:11" s="123" customFormat="1" ht="16.5" customHeight="1" x14ac:dyDescent="0.2">
      <c r="B97" s="243"/>
      <c r="C97" s="239"/>
      <c r="D97" s="239"/>
      <c r="E97" s="239"/>
      <c r="F97" s="239"/>
      <c r="G97" s="239"/>
      <c r="H97" s="239"/>
      <c r="I97" s="239"/>
      <c r="J97" s="239"/>
      <c r="K97" s="239"/>
    </row>
    <row r="98" spans="2:11" s="123" customFormat="1" ht="15.75" customHeight="1" x14ac:dyDescent="0.2">
      <c r="B98" s="273" t="s">
        <v>544</v>
      </c>
      <c r="C98" s="274"/>
      <c r="D98" s="274"/>
      <c r="E98" s="274"/>
      <c r="F98" s="274"/>
      <c r="G98" s="308"/>
      <c r="H98" s="308"/>
      <c r="I98" s="308"/>
      <c r="J98" s="308"/>
      <c r="K98" s="308"/>
    </row>
    <row r="99" spans="2:11" s="123" customFormat="1" ht="15.75" thickBot="1" x14ac:dyDescent="0.25">
      <c r="B99" s="22" t="s">
        <v>60</v>
      </c>
      <c r="C99" s="22"/>
      <c r="D99" s="22"/>
      <c r="E99" s="22"/>
      <c r="F99" s="23"/>
      <c r="G99" s="23"/>
      <c r="H99" s="24"/>
      <c r="I99" s="24"/>
      <c r="J99" s="24">
        <v>50</v>
      </c>
      <c r="K99" s="108" t="s">
        <v>27</v>
      </c>
    </row>
    <row r="100" spans="2:11" s="123" customFormat="1" ht="81.75" customHeight="1" thickTop="1" x14ac:dyDescent="0.2">
      <c r="B100" s="265" t="s">
        <v>584</v>
      </c>
      <c r="C100" s="266"/>
      <c r="D100" s="266"/>
      <c r="E100" s="266"/>
      <c r="F100" s="266"/>
      <c r="G100" s="266"/>
      <c r="H100" s="266"/>
      <c r="I100" s="266"/>
      <c r="J100" s="266"/>
      <c r="K100" s="266"/>
    </row>
    <row r="101" spans="2:11" s="123" customFormat="1" ht="15.75" customHeight="1" x14ac:dyDescent="0.2">
      <c r="B101" s="273" t="s">
        <v>545</v>
      </c>
      <c r="C101" s="274"/>
      <c r="D101" s="274"/>
      <c r="E101" s="274"/>
      <c r="F101" s="274"/>
      <c r="G101" s="308"/>
      <c r="H101" s="308"/>
      <c r="I101" s="308"/>
      <c r="J101" s="308"/>
      <c r="K101" s="308"/>
    </row>
    <row r="102" spans="2:11" s="123" customFormat="1" ht="15.75" thickBot="1" x14ac:dyDescent="0.25">
      <c r="B102" s="22" t="s">
        <v>60</v>
      </c>
      <c r="C102" s="22"/>
      <c r="D102" s="22"/>
      <c r="E102" s="22"/>
      <c r="F102" s="23"/>
      <c r="G102" s="23"/>
      <c r="H102" s="24"/>
      <c r="I102" s="24"/>
      <c r="J102" s="24">
        <v>25</v>
      </c>
      <c r="K102" s="108" t="s">
        <v>27</v>
      </c>
    </row>
    <row r="103" spans="2:11" s="123" customFormat="1" ht="125.25" customHeight="1" thickTop="1" x14ac:dyDescent="0.2">
      <c r="B103" s="265" t="s">
        <v>585</v>
      </c>
      <c r="C103" s="266"/>
      <c r="D103" s="266"/>
      <c r="E103" s="266"/>
      <c r="F103" s="266"/>
      <c r="G103" s="266"/>
      <c r="H103" s="266"/>
      <c r="I103" s="266"/>
      <c r="J103" s="266"/>
      <c r="K103" s="266"/>
    </row>
    <row r="104" spans="2:11" s="123" customFormat="1" ht="15.75" customHeight="1" x14ac:dyDescent="0.2">
      <c r="B104" s="273" t="s">
        <v>546</v>
      </c>
      <c r="C104" s="274"/>
      <c r="D104" s="274"/>
      <c r="E104" s="274"/>
      <c r="F104" s="274"/>
      <c r="G104" s="308"/>
      <c r="H104" s="308"/>
      <c r="I104" s="308"/>
      <c r="J104" s="308"/>
      <c r="K104" s="308"/>
    </row>
    <row r="105" spans="2:11" s="123" customFormat="1" ht="15.75" thickBot="1" x14ac:dyDescent="0.25">
      <c r="B105" s="22" t="s">
        <v>60</v>
      </c>
      <c r="C105" s="22"/>
      <c r="D105" s="22"/>
      <c r="E105" s="22"/>
      <c r="F105" s="23"/>
      <c r="G105" s="23"/>
      <c r="H105" s="24"/>
      <c r="I105" s="24"/>
      <c r="J105" s="24">
        <v>900</v>
      </c>
      <c r="K105" s="108" t="s">
        <v>27</v>
      </c>
    </row>
    <row r="106" spans="2:11" s="123" customFormat="1" ht="123" customHeight="1" thickTop="1" x14ac:dyDescent="0.2">
      <c r="B106" s="265" t="s">
        <v>586</v>
      </c>
      <c r="C106" s="266"/>
      <c r="D106" s="266"/>
      <c r="E106" s="266"/>
      <c r="F106" s="266"/>
      <c r="G106" s="266"/>
      <c r="H106" s="266"/>
      <c r="I106" s="266"/>
      <c r="J106" s="266"/>
      <c r="K106" s="266"/>
    </row>
    <row r="107" spans="2:11" s="123" customFormat="1" ht="15.75" thickBot="1" x14ac:dyDescent="0.25">
      <c r="B107" s="22" t="s">
        <v>136</v>
      </c>
      <c r="C107" s="22"/>
      <c r="D107" s="22"/>
      <c r="E107" s="22"/>
      <c r="F107" s="23"/>
      <c r="G107" s="23"/>
      <c r="H107" s="24"/>
      <c r="I107" s="24"/>
      <c r="J107" s="24">
        <v>80</v>
      </c>
      <c r="K107" s="108" t="s">
        <v>27</v>
      </c>
    </row>
    <row r="108" spans="2:11" s="123" customFormat="1" ht="74.25" customHeight="1" thickTop="1" x14ac:dyDescent="0.2">
      <c r="B108" s="265" t="s">
        <v>587</v>
      </c>
      <c r="C108" s="266"/>
      <c r="D108" s="266"/>
      <c r="E108" s="266"/>
      <c r="F108" s="266"/>
      <c r="G108" s="266"/>
      <c r="H108" s="266"/>
      <c r="I108" s="266"/>
      <c r="J108" s="266"/>
      <c r="K108" s="266"/>
    </row>
    <row r="109" spans="2:11" s="123" customFormat="1" ht="15.75" thickBot="1" x14ac:dyDescent="0.25">
      <c r="B109" s="22" t="s">
        <v>137</v>
      </c>
      <c r="C109" s="22"/>
      <c r="D109" s="22"/>
      <c r="E109" s="22"/>
      <c r="F109" s="23"/>
      <c r="G109" s="23"/>
      <c r="H109" s="24"/>
      <c r="I109" s="24"/>
      <c r="J109" s="24">
        <v>5</v>
      </c>
      <c r="K109" s="108" t="s">
        <v>27</v>
      </c>
    </row>
    <row r="110" spans="2:11" s="123" customFormat="1" ht="86.25" customHeight="1" thickTop="1" x14ac:dyDescent="0.2">
      <c r="B110" s="265" t="s">
        <v>588</v>
      </c>
      <c r="C110" s="266"/>
      <c r="D110" s="266"/>
      <c r="E110" s="266"/>
      <c r="F110" s="266"/>
      <c r="G110" s="266"/>
      <c r="H110" s="266"/>
      <c r="I110" s="266"/>
      <c r="J110" s="266"/>
      <c r="K110" s="266"/>
    </row>
    <row r="111" spans="2:11" s="123" customFormat="1" ht="15.75" thickBot="1" x14ac:dyDescent="0.25">
      <c r="B111" s="22" t="s">
        <v>29</v>
      </c>
      <c r="C111" s="22"/>
      <c r="D111" s="22"/>
      <c r="E111" s="22"/>
      <c r="F111" s="23"/>
      <c r="G111" s="23"/>
      <c r="H111" s="24"/>
      <c r="I111" s="24"/>
      <c r="J111" s="24">
        <v>10</v>
      </c>
      <c r="K111" s="108" t="s">
        <v>27</v>
      </c>
    </row>
    <row r="112" spans="2:11" s="123" customFormat="1" ht="102.75" customHeight="1" thickTop="1" x14ac:dyDescent="0.2">
      <c r="B112" s="265" t="s">
        <v>589</v>
      </c>
      <c r="C112" s="266"/>
      <c r="D112" s="266"/>
      <c r="E112" s="266"/>
      <c r="F112" s="266"/>
      <c r="G112" s="266"/>
      <c r="H112" s="266"/>
      <c r="I112" s="266"/>
      <c r="J112" s="266"/>
      <c r="K112" s="266"/>
    </row>
    <row r="113" spans="2:11" s="123" customFormat="1" ht="15.75" thickBot="1" x14ac:dyDescent="0.25">
      <c r="B113" s="22" t="s">
        <v>77</v>
      </c>
      <c r="C113" s="22"/>
      <c r="D113" s="22"/>
      <c r="E113" s="22"/>
      <c r="F113" s="23"/>
      <c r="G113" s="23"/>
      <c r="H113" s="24"/>
      <c r="I113" s="24"/>
      <c r="J113" s="24">
        <v>20</v>
      </c>
      <c r="K113" s="108" t="s">
        <v>27</v>
      </c>
    </row>
    <row r="114" spans="2:11" s="123" customFormat="1" ht="84.75" customHeight="1" thickTop="1" x14ac:dyDescent="0.2">
      <c r="B114" s="265" t="s">
        <v>590</v>
      </c>
      <c r="C114" s="266"/>
      <c r="D114" s="266"/>
      <c r="E114" s="266"/>
      <c r="F114" s="266"/>
      <c r="G114" s="266"/>
      <c r="H114" s="266"/>
      <c r="I114" s="266"/>
      <c r="J114" s="266"/>
      <c r="K114" s="266"/>
    </row>
    <row r="115" spans="2:11" s="123" customFormat="1" ht="14.25" x14ac:dyDescent="0.2">
      <c r="K115" s="186"/>
    </row>
    <row r="116" spans="2:11" s="123" customFormat="1" ht="14.25" x14ac:dyDescent="0.2">
      <c r="K116" s="186"/>
    </row>
    <row r="117" spans="2:11" s="123" customFormat="1" ht="14.25" x14ac:dyDescent="0.2">
      <c r="K117" s="186"/>
    </row>
    <row r="118" spans="2:11" s="123" customFormat="1" ht="14.25" x14ac:dyDescent="0.2">
      <c r="K118" s="186"/>
    </row>
    <row r="119" spans="2:11" s="123" customFormat="1" ht="14.25" x14ac:dyDescent="0.2">
      <c r="K119" s="186"/>
    </row>
    <row r="120" spans="2:11" s="123" customFormat="1" ht="14.25" x14ac:dyDescent="0.2">
      <c r="K120" s="186"/>
    </row>
    <row r="121" spans="2:11" s="123" customFormat="1" ht="14.25" x14ac:dyDescent="0.2">
      <c r="K121" s="186"/>
    </row>
    <row r="122" spans="2:11" s="123" customFormat="1" ht="14.25" x14ac:dyDescent="0.2">
      <c r="K122" s="186"/>
    </row>
    <row r="123" spans="2:11" s="123" customFormat="1" ht="14.25" x14ac:dyDescent="0.2">
      <c r="K123" s="186"/>
    </row>
    <row r="124" spans="2:11" s="123" customFormat="1" ht="14.25" x14ac:dyDescent="0.2">
      <c r="K124" s="186"/>
    </row>
  </sheetData>
  <mergeCells count="29">
    <mergeCell ref="B89:K89"/>
    <mergeCell ref="B110:K110"/>
    <mergeCell ref="B112:K112"/>
    <mergeCell ref="B114:K114"/>
    <mergeCell ref="B91:K91"/>
    <mergeCell ref="B100:K100"/>
    <mergeCell ref="B103:K103"/>
    <mergeCell ref="B106:K106"/>
    <mergeCell ref="B108:K108"/>
    <mergeCell ref="B93:K94"/>
    <mergeCell ref="B101:K101"/>
    <mergeCell ref="B104:K104"/>
    <mergeCell ref="B95:K95"/>
    <mergeCell ref="B98:K98"/>
    <mergeCell ref="B2:F2"/>
    <mergeCell ref="B73:K73"/>
    <mergeCell ref="B75:K75"/>
    <mergeCell ref="B78:K78"/>
    <mergeCell ref="B87:K87"/>
    <mergeCell ref="F12:J12"/>
    <mergeCell ref="B76:I76"/>
    <mergeCell ref="F18:K18"/>
    <mergeCell ref="B85:K85"/>
    <mergeCell ref="F24:J24"/>
    <mergeCell ref="F30:J30"/>
    <mergeCell ref="F34:J34"/>
    <mergeCell ref="F38:J38"/>
    <mergeCell ref="F41:J41"/>
    <mergeCell ref="F58:J58"/>
  </mergeCells>
  <pageMargins left="0.70866141732283472" right="0.70866141732283472" top="0.78740157480314965" bottom="0.78740157480314965" header="0.31496062992125984" footer="0.31496062992125984"/>
  <pageSetup paperSize="9" scale="74" firstPageNumber="60" fitToHeight="9999" orientation="portrait" useFirstPageNumber="1" r:id="rId1"/>
  <headerFooter>
    <oddFooter>&amp;L&amp;"Arial CE,Kurzíva"Zastupitelstvo Olomouckého kraje 16-12-2011
6. - Rozpočet Olomouckého kraje 2012 - návrh rozpočtu 
Příloha č. 3a): Výdaje odborů (kanceláří)&amp;R&amp;"Arial CE,Kurzíva"Strana &amp;P (celkem 167)</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pageSetUpPr fitToPage="1"/>
  </sheetPr>
  <dimension ref="B2:K80"/>
  <sheetViews>
    <sheetView showGridLines="0" view="pageBreakPreview" topLeftCell="A62" zoomScaleNormal="100" zoomScaleSheetLayoutView="100" workbookViewId="0">
      <selection activeCell="B51" sqref="B51:F51"/>
    </sheetView>
  </sheetViews>
  <sheetFormatPr defaultRowHeight="12.75" x14ac:dyDescent="0.2"/>
  <cols>
    <col min="1" max="1" width="0.85546875" customWidth="1"/>
    <col min="2" max="3" width="4.7109375" customWidth="1"/>
    <col min="4" max="4" width="9.7109375" customWidth="1"/>
    <col min="5" max="5" width="11.7109375" customWidth="1"/>
    <col min="6" max="6" width="37.7109375" customWidth="1"/>
    <col min="7" max="10" width="10.7109375" customWidth="1"/>
    <col min="11" max="11" width="7.7109375" style="107" customWidth="1"/>
  </cols>
  <sheetData>
    <row r="2" spans="2:11" ht="38.1" customHeight="1" x14ac:dyDescent="0.2">
      <c r="B2" s="267" t="s">
        <v>119</v>
      </c>
      <c r="C2" s="268"/>
      <c r="D2" s="268"/>
      <c r="E2" s="268"/>
      <c r="F2" s="268"/>
      <c r="G2" s="3"/>
      <c r="H2" s="3"/>
      <c r="I2" s="3"/>
      <c r="J2" s="3"/>
      <c r="K2" s="98" t="s">
        <v>120</v>
      </c>
    </row>
    <row r="5" spans="2:11" s="123" customFormat="1" ht="15" x14ac:dyDescent="0.2">
      <c r="B5" s="188" t="s">
        <v>0</v>
      </c>
      <c r="C5" s="188"/>
      <c r="D5" s="188" t="s">
        <v>121</v>
      </c>
      <c r="E5" s="189"/>
      <c r="F5" s="189"/>
      <c r="G5" s="189"/>
      <c r="H5" s="189"/>
      <c r="I5" s="189"/>
      <c r="J5" s="189"/>
      <c r="K5" s="190"/>
    </row>
    <row r="6" spans="2:11" s="123" customFormat="1" ht="15" x14ac:dyDescent="0.2">
      <c r="B6" s="188"/>
      <c r="C6" s="188"/>
      <c r="D6" s="188" t="s">
        <v>33</v>
      </c>
      <c r="E6" s="189"/>
      <c r="F6" s="189"/>
      <c r="G6" s="189"/>
      <c r="H6" s="189"/>
      <c r="I6" s="189"/>
      <c r="J6" s="189"/>
      <c r="K6" s="190"/>
    </row>
    <row r="7" spans="2:11" ht="13.5" thickBot="1" x14ac:dyDescent="0.25">
      <c r="B7" s="5"/>
      <c r="C7" s="5"/>
      <c r="D7" s="5"/>
      <c r="E7" s="5"/>
      <c r="F7" s="5"/>
      <c r="G7" s="5"/>
      <c r="H7" s="5"/>
      <c r="I7" s="5"/>
      <c r="J7" s="5"/>
      <c r="K7" s="99" t="s">
        <v>3</v>
      </c>
    </row>
    <row r="8" spans="2:11" ht="35.1" customHeight="1" x14ac:dyDescent="0.2">
      <c r="B8" s="7" t="s">
        <v>4</v>
      </c>
      <c r="C8" s="8" t="s">
        <v>5</v>
      </c>
      <c r="D8" s="8" t="s">
        <v>6</v>
      </c>
      <c r="E8" s="8" t="s">
        <v>7</v>
      </c>
      <c r="F8" s="6" t="s">
        <v>8</v>
      </c>
      <c r="G8" s="6" t="s">
        <v>9</v>
      </c>
      <c r="H8" s="6" t="s">
        <v>10</v>
      </c>
      <c r="I8" s="6" t="s">
        <v>11</v>
      </c>
      <c r="J8" s="6" t="s">
        <v>12</v>
      </c>
      <c r="K8" s="100" t="s">
        <v>13</v>
      </c>
    </row>
    <row r="9" spans="2:11" ht="13.5" thickBot="1" x14ac:dyDescent="0.25">
      <c r="B9" s="10">
        <v>1</v>
      </c>
      <c r="C9" s="11">
        <v>2</v>
      </c>
      <c r="D9" s="11">
        <v>3</v>
      </c>
      <c r="E9" s="11">
        <v>4</v>
      </c>
      <c r="F9" s="12">
        <v>5</v>
      </c>
      <c r="G9" s="12">
        <v>6</v>
      </c>
      <c r="H9" s="12">
        <v>7</v>
      </c>
      <c r="I9" s="12">
        <v>8</v>
      </c>
      <c r="J9" s="12">
        <v>9</v>
      </c>
      <c r="K9" s="101" t="s">
        <v>14</v>
      </c>
    </row>
    <row r="10" spans="2:11" ht="25.5" x14ac:dyDescent="0.2">
      <c r="B10" s="82">
        <v>2212</v>
      </c>
      <c r="C10" s="83">
        <v>6315</v>
      </c>
      <c r="D10" s="83">
        <v>0</v>
      </c>
      <c r="E10" s="83">
        <v>30102000000</v>
      </c>
      <c r="F10" s="84" t="s">
        <v>122</v>
      </c>
      <c r="G10" s="85">
        <v>20000</v>
      </c>
      <c r="H10" s="85">
        <v>20000</v>
      </c>
      <c r="I10" s="85">
        <v>20000</v>
      </c>
      <c r="J10" s="85">
        <v>0</v>
      </c>
      <c r="K10" s="103">
        <f>J10/G10*100</f>
        <v>0</v>
      </c>
    </row>
    <row r="11" spans="2:11" ht="13.5" customHeight="1" x14ac:dyDescent="0.2">
      <c r="B11" s="82"/>
      <c r="C11" s="83"/>
      <c r="D11" s="83"/>
      <c r="E11" s="83"/>
      <c r="F11" s="276" t="s">
        <v>533</v>
      </c>
      <c r="G11" s="277"/>
      <c r="H11" s="277"/>
      <c r="I11" s="279"/>
      <c r="J11" s="85"/>
      <c r="K11" s="103"/>
    </row>
    <row r="12" spans="2:11" ht="25.5" x14ac:dyDescent="0.2">
      <c r="B12" s="82">
        <v>2212</v>
      </c>
      <c r="C12" s="83">
        <v>6315</v>
      </c>
      <c r="D12" s="83">
        <v>608</v>
      </c>
      <c r="E12" s="83">
        <v>30103000000</v>
      </c>
      <c r="F12" s="84" t="s">
        <v>122</v>
      </c>
      <c r="G12" s="85">
        <v>0</v>
      </c>
      <c r="H12" s="85">
        <v>450</v>
      </c>
      <c r="I12" s="85">
        <v>0</v>
      </c>
      <c r="J12" s="85">
        <v>0</v>
      </c>
      <c r="K12" s="103"/>
    </row>
    <row r="13" spans="2:11" ht="15" x14ac:dyDescent="0.2">
      <c r="B13" s="82">
        <v>2212</v>
      </c>
      <c r="C13" s="83">
        <v>6341</v>
      </c>
      <c r="D13" s="83">
        <v>608</v>
      </c>
      <c r="E13" s="83">
        <v>30100000000</v>
      </c>
      <c r="F13" s="84" t="s">
        <v>34</v>
      </c>
      <c r="G13" s="85">
        <v>7000</v>
      </c>
      <c r="H13" s="85">
        <v>4147</v>
      </c>
      <c r="I13" s="85">
        <v>4121</v>
      </c>
      <c r="J13" s="173">
        <v>0</v>
      </c>
      <c r="K13" s="103">
        <f t="shared" ref="K13:K39" si="0">J13/G13*100</f>
        <v>0</v>
      </c>
    </row>
    <row r="14" spans="2:11" ht="14.25" x14ac:dyDescent="0.2">
      <c r="B14" s="82"/>
      <c r="C14" s="83"/>
      <c r="D14" s="83"/>
      <c r="E14" s="83"/>
      <c r="F14" s="84"/>
      <c r="G14" s="87">
        <f>SUM(G12:G13)</f>
        <v>7000</v>
      </c>
      <c r="H14" s="87">
        <f>SUM(H12:H13)</f>
        <v>4597</v>
      </c>
      <c r="I14" s="87">
        <f>SUM(I12:I13)</f>
        <v>4121</v>
      </c>
      <c r="J14" s="87">
        <f>SUM(J12:J13)</f>
        <v>0</v>
      </c>
      <c r="K14" s="104">
        <f t="shared" si="0"/>
        <v>0</v>
      </c>
    </row>
    <row r="15" spans="2:11" ht="14.25" x14ac:dyDescent="0.2">
      <c r="B15" s="82"/>
      <c r="C15" s="83"/>
      <c r="D15" s="83"/>
      <c r="E15" s="83"/>
      <c r="F15" s="276" t="s">
        <v>534</v>
      </c>
      <c r="G15" s="277"/>
      <c r="H15" s="277"/>
      <c r="I15" s="279"/>
      <c r="J15" s="87"/>
      <c r="K15" s="104"/>
    </row>
    <row r="16" spans="2:11" ht="15" x14ac:dyDescent="0.2">
      <c r="B16" s="82">
        <v>2219</v>
      </c>
      <c r="C16" s="83">
        <v>6341</v>
      </c>
      <c r="D16" s="83">
        <v>605</v>
      </c>
      <c r="E16" s="83">
        <v>30100000000</v>
      </c>
      <c r="F16" s="84" t="s">
        <v>34</v>
      </c>
      <c r="G16" s="85">
        <v>4000</v>
      </c>
      <c r="H16" s="85">
        <v>6403</v>
      </c>
      <c r="I16" s="85">
        <v>5943</v>
      </c>
      <c r="J16" s="85">
        <v>6500</v>
      </c>
      <c r="K16" s="103">
        <f t="shared" si="0"/>
        <v>162.5</v>
      </c>
    </row>
    <row r="17" spans="2:11" ht="14.25" x14ac:dyDescent="0.2">
      <c r="B17" s="82"/>
      <c r="C17" s="83"/>
      <c r="D17" s="83"/>
      <c r="E17" s="83"/>
      <c r="F17" s="84"/>
      <c r="G17" s="87">
        <f>SUM(G16)</f>
        <v>4000</v>
      </c>
      <c r="H17" s="87">
        <f>SUM(H16)</f>
        <v>6403</v>
      </c>
      <c r="I17" s="87">
        <f>SUM(I16)</f>
        <v>5943</v>
      </c>
      <c r="J17" s="87">
        <f>SUM(J16)</f>
        <v>6500</v>
      </c>
      <c r="K17" s="104">
        <f t="shared" si="0"/>
        <v>162.5</v>
      </c>
    </row>
    <row r="18" spans="2:11" ht="14.25" x14ac:dyDescent="0.2">
      <c r="B18" s="82"/>
      <c r="C18" s="83"/>
      <c r="D18" s="83"/>
      <c r="E18" s="83"/>
      <c r="F18" s="276" t="s">
        <v>535</v>
      </c>
      <c r="G18" s="277"/>
      <c r="H18" s="277"/>
      <c r="I18" s="279"/>
      <c r="J18" s="87"/>
      <c r="K18" s="104"/>
    </row>
    <row r="19" spans="2:11" ht="15" x14ac:dyDescent="0.2">
      <c r="B19" s="82">
        <v>2221</v>
      </c>
      <c r="C19" s="83">
        <v>5193</v>
      </c>
      <c r="D19" s="83">
        <v>601</v>
      </c>
      <c r="E19" s="83">
        <v>20000000000</v>
      </c>
      <c r="F19" s="84" t="s">
        <v>123</v>
      </c>
      <c r="G19" s="85">
        <v>342691</v>
      </c>
      <c r="H19" s="85">
        <v>342691</v>
      </c>
      <c r="I19" s="85">
        <f>25466392/100</f>
        <v>254663.92</v>
      </c>
      <c r="J19" s="85">
        <v>365572</v>
      </c>
      <c r="K19" s="103">
        <f t="shared" si="0"/>
        <v>106.67686049531501</v>
      </c>
    </row>
    <row r="20" spans="2:11" ht="15" x14ac:dyDescent="0.2">
      <c r="B20" s="82">
        <v>2221</v>
      </c>
      <c r="C20" s="83">
        <v>5193</v>
      </c>
      <c r="D20" s="83">
        <v>602</v>
      </c>
      <c r="E20" s="83">
        <v>20000000000</v>
      </c>
      <c r="F20" s="84" t="s">
        <v>123</v>
      </c>
      <c r="G20" s="85">
        <v>2000</v>
      </c>
      <c r="H20" s="85">
        <v>2000</v>
      </c>
      <c r="I20" s="85">
        <f>73379/100</f>
        <v>733.79</v>
      </c>
      <c r="J20" s="85">
        <v>1500</v>
      </c>
      <c r="K20" s="103">
        <f t="shared" si="0"/>
        <v>75</v>
      </c>
    </row>
    <row r="21" spans="2:11" ht="15" x14ac:dyDescent="0.2">
      <c r="B21" s="82">
        <v>2221</v>
      </c>
      <c r="C21" s="83">
        <v>5193</v>
      </c>
      <c r="D21" s="83">
        <v>606</v>
      </c>
      <c r="E21" s="83">
        <v>20000000000</v>
      </c>
      <c r="F21" s="84" t="s">
        <v>123</v>
      </c>
      <c r="G21" s="85">
        <v>450</v>
      </c>
      <c r="H21" s="85">
        <v>450</v>
      </c>
      <c r="I21" s="85">
        <v>0</v>
      </c>
      <c r="J21" s="85">
        <v>0</v>
      </c>
      <c r="K21" s="103">
        <f t="shared" si="0"/>
        <v>0</v>
      </c>
    </row>
    <row r="22" spans="2:11" ht="14.25" x14ac:dyDescent="0.2">
      <c r="B22" s="82"/>
      <c r="C22" s="83"/>
      <c r="D22" s="83"/>
      <c r="E22" s="83"/>
      <c r="F22" s="84"/>
      <c r="G22" s="87">
        <f>SUM(G19:G21)</f>
        <v>345141</v>
      </c>
      <c r="H22" s="87">
        <f>SUM(H19:H21)</f>
        <v>345141</v>
      </c>
      <c r="I22" s="87">
        <f>SUM(I19:I21)</f>
        <v>255397.71000000002</v>
      </c>
      <c r="J22" s="87">
        <f>SUM(J19:J21)</f>
        <v>367072</v>
      </c>
      <c r="K22" s="104">
        <f t="shared" si="0"/>
        <v>106.3542146543007</v>
      </c>
    </row>
    <row r="23" spans="2:11" ht="25.5" x14ac:dyDescent="0.2">
      <c r="B23" s="82">
        <v>2223</v>
      </c>
      <c r="C23" s="83">
        <v>5166</v>
      </c>
      <c r="D23" s="83">
        <v>0</v>
      </c>
      <c r="E23" s="83">
        <v>20004000000</v>
      </c>
      <c r="F23" s="84" t="s">
        <v>42</v>
      </c>
      <c r="G23" s="85">
        <v>50</v>
      </c>
      <c r="H23" s="85">
        <v>50</v>
      </c>
      <c r="I23" s="85">
        <v>0</v>
      </c>
      <c r="J23" s="85">
        <v>80</v>
      </c>
      <c r="K23" s="103">
        <f t="shared" si="0"/>
        <v>160</v>
      </c>
    </row>
    <row r="24" spans="2:11" ht="25.5" x14ac:dyDescent="0.2">
      <c r="B24" s="82">
        <v>2223</v>
      </c>
      <c r="C24" s="83">
        <v>5192</v>
      </c>
      <c r="D24" s="83">
        <v>0</v>
      </c>
      <c r="E24" s="83">
        <v>20000000000</v>
      </c>
      <c r="F24" s="84" t="s">
        <v>63</v>
      </c>
      <c r="G24" s="85">
        <v>100</v>
      </c>
      <c r="H24" s="85">
        <v>180</v>
      </c>
      <c r="I24" s="85">
        <f>9938/100</f>
        <v>99.38</v>
      </c>
      <c r="J24" s="85">
        <v>160</v>
      </c>
      <c r="K24" s="103">
        <f t="shared" si="0"/>
        <v>160</v>
      </c>
    </row>
    <row r="25" spans="2:11" ht="25.5" x14ac:dyDescent="0.2">
      <c r="B25" s="82">
        <v>2223</v>
      </c>
      <c r="C25" s="83">
        <v>5339</v>
      </c>
      <c r="D25" s="83">
        <v>0</v>
      </c>
      <c r="E25" s="83">
        <v>30103000000</v>
      </c>
      <c r="F25" s="84" t="s">
        <v>85</v>
      </c>
      <c r="G25" s="85">
        <v>750</v>
      </c>
      <c r="H25" s="85">
        <v>750</v>
      </c>
      <c r="I25" s="85">
        <v>750</v>
      </c>
      <c r="J25" s="85">
        <v>750</v>
      </c>
      <c r="K25" s="103">
        <f t="shared" si="0"/>
        <v>100</v>
      </c>
    </row>
    <row r="26" spans="2:11" ht="15" x14ac:dyDescent="0.2">
      <c r="B26" s="82"/>
      <c r="C26" s="83"/>
      <c r="D26" s="83"/>
      <c r="E26" s="83"/>
      <c r="F26" s="276" t="s">
        <v>536</v>
      </c>
      <c r="G26" s="277"/>
      <c r="H26" s="277"/>
      <c r="I26" s="279"/>
      <c r="J26" s="85"/>
      <c r="K26" s="103"/>
    </row>
    <row r="27" spans="2:11" ht="15" x14ac:dyDescent="0.2">
      <c r="B27" s="82">
        <v>2242</v>
      </c>
      <c r="C27" s="83">
        <v>5193</v>
      </c>
      <c r="D27" s="83">
        <v>0</v>
      </c>
      <c r="E27" s="83">
        <v>20000000000</v>
      </c>
      <c r="F27" s="84" t="s">
        <v>123</v>
      </c>
      <c r="G27" s="85">
        <v>3000</v>
      </c>
      <c r="H27" s="85">
        <v>3000</v>
      </c>
      <c r="I27" s="85">
        <v>0</v>
      </c>
      <c r="J27" s="85">
        <v>0</v>
      </c>
      <c r="K27" s="103">
        <f t="shared" si="0"/>
        <v>0</v>
      </c>
    </row>
    <row r="28" spans="2:11" ht="15" x14ac:dyDescent="0.2">
      <c r="B28" s="82">
        <v>2242</v>
      </c>
      <c r="C28" s="83">
        <v>5193</v>
      </c>
      <c r="D28" s="83">
        <v>604</v>
      </c>
      <c r="E28" s="83">
        <v>20000000000</v>
      </c>
      <c r="F28" s="84" t="s">
        <v>123</v>
      </c>
      <c r="G28" s="85">
        <v>388619</v>
      </c>
      <c r="H28" s="85">
        <v>388619</v>
      </c>
      <c r="I28" s="85">
        <f>29146424/100</f>
        <v>291464.24</v>
      </c>
      <c r="J28" s="85">
        <v>414015</v>
      </c>
      <c r="K28" s="103">
        <f t="shared" si="0"/>
        <v>106.53493524506008</v>
      </c>
    </row>
    <row r="29" spans="2:11" ht="14.25" x14ac:dyDescent="0.2">
      <c r="B29" s="82"/>
      <c r="C29" s="83"/>
      <c r="D29" s="83"/>
      <c r="E29" s="83"/>
      <c r="F29" s="84"/>
      <c r="G29" s="87">
        <f>SUM(G27:G28)</f>
        <v>391619</v>
      </c>
      <c r="H29" s="87">
        <f>SUM(H27:H28)</f>
        <v>391619</v>
      </c>
      <c r="I29" s="87">
        <f>SUM(I27:I28)</f>
        <v>291464.24</v>
      </c>
      <c r="J29" s="87">
        <f>SUM(J27:J28)</f>
        <v>414015</v>
      </c>
      <c r="K29" s="104">
        <f t="shared" si="0"/>
        <v>105.7188236525807</v>
      </c>
    </row>
    <row r="30" spans="2:11" ht="25.5" x14ac:dyDescent="0.2">
      <c r="B30" s="82">
        <v>2299</v>
      </c>
      <c r="C30" s="83">
        <v>5166</v>
      </c>
      <c r="D30" s="83">
        <v>0</v>
      </c>
      <c r="E30" s="83">
        <v>20004000000</v>
      </c>
      <c r="F30" s="84" t="s">
        <v>42</v>
      </c>
      <c r="G30" s="85">
        <v>4010</v>
      </c>
      <c r="H30" s="85">
        <v>3930</v>
      </c>
      <c r="I30" s="85">
        <v>0</v>
      </c>
      <c r="J30" s="85">
        <v>0</v>
      </c>
      <c r="K30" s="103">
        <f t="shared" si="0"/>
        <v>0</v>
      </c>
    </row>
    <row r="31" spans="2:11" ht="15" x14ac:dyDescent="0.2">
      <c r="B31" s="82">
        <v>2299</v>
      </c>
      <c r="C31" s="83">
        <v>5169</v>
      </c>
      <c r="D31" s="83">
        <v>0</v>
      </c>
      <c r="E31" s="83">
        <v>20001000000</v>
      </c>
      <c r="F31" s="84" t="s">
        <v>15</v>
      </c>
      <c r="G31" s="85">
        <v>160</v>
      </c>
      <c r="H31" s="85">
        <v>160</v>
      </c>
      <c r="I31" s="85">
        <f>1163/100</f>
        <v>11.63</v>
      </c>
      <c r="J31" s="85">
        <v>0</v>
      </c>
      <c r="K31" s="103">
        <f t="shared" si="0"/>
        <v>0</v>
      </c>
    </row>
    <row r="32" spans="2:11" ht="25.5" x14ac:dyDescent="0.2">
      <c r="B32" s="82">
        <v>2299</v>
      </c>
      <c r="C32" s="83">
        <v>5229</v>
      </c>
      <c r="D32" s="83">
        <v>0</v>
      </c>
      <c r="E32" s="83">
        <v>30101000000</v>
      </c>
      <c r="F32" s="84" t="s">
        <v>86</v>
      </c>
      <c r="G32" s="85">
        <v>5</v>
      </c>
      <c r="H32" s="85">
        <v>5</v>
      </c>
      <c r="I32" s="85">
        <v>0</v>
      </c>
      <c r="J32" s="85">
        <v>0</v>
      </c>
      <c r="K32" s="103">
        <f t="shared" si="0"/>
        <v>0</v>
      </c>
    </row>
    <row r="33" spans="2:11" ht="15" x14ac:dyDescent="0.2">
      <c r="B33" s="82">
        <v>2299</v>
      </c>
      <c r="C33" s="83">
        <v>5331</v>
      </c>
      <c r="D33" s="83">
        <v>0</v>
      </c>
      <c r="E33" s="83"/>
      <c r="F33" s="84" t="s">
        <v>452</v>
      </c>
      <c r="G33" s="85">
        <v>4283</v>
      </c>
      <c r="H33" s="85">
        <v>4283</v>
      </c>
      <c r="I33" s="85">
        <v>0</v>
      </c>
      <c r="J33" s="85">
        <v>0</v>
      </c>
      <c r="K33" s="103">
        <f t="shared" si="0"/>
        <v>0</v>
      </c>
    </row>
    <row r="34" spans="2:11" ht="15" x14ac:dyDescent="0.2">
      <c r="B34" s="82">
        <v>2299</v>
      </c>
      <c r="C34" s="83">
        <v>6351</v>
      </c>
      <c r="D34" s="83">
        <v>0</v>
      </c>
      <c r="E34" s="83"/>
      <c r="F34" s="84" t="s">
        <v>537</v>
      </c>
      <c r="G34" s="85">
        <v>2813</v>
      </c>
      <c r="H34" s="85">
        <v>2813</v>
      </c>
      <c r="I34" s="85">
        <v>0</v>
      </c>
      <c r="J34" s="85">
        <v>0</v>
      </c>
      <c r="K34" s="103">
        <f t="shared" si="0"/>
        <v>0</v>
      </c>
    </row>
    <row r="35" spans="2:11" ht="15" x14ac:dyDescent="0.2">
      <c r="B35" s="82">
        <v>6172</v>
      </c>
      <c r="C35" s="83">
        <v>5164</v>
      </c>
      <c r="D35" s="83">
        <v>0</v>
      </c>
      <c r="E35" s="83">
        <v>20000000000</v>
      </c>
      <c r="F35" s="84" t="s">
        <v>20</v>
      </c>
      <c r="G35" s="85">
        <v>0</v>
      </c>
      <c r="H35" s="85">
        <v>20</v>
      </c>
      <c r="I35" s="85">
        <f>1897/100</f>
        <v>18.97</v>
      </c>
      <c r="J35" s="85">
        <v>17</v>
      </c>
      <c r="K35" s="103"/>
    </row>
    <row r="36" spans="2:11" ht="15" x14ac:dyDescent="0.2">
      <c r="B36" s="82">
        <v>6172</v>
      </c>
      <c r="C36" s="83">
        <v>5169</v>
      </c>
      <c r="D36" s="83">
        <v>0</v>
      </c>
      <c r="E36" s="83">
        <v>20000000000</v>
      </c>
      <c r="F36" s="84" t="s">
        <v>15</v>
      </c>
      <c r="G36" s="85">
        <v>0</v>
      </c>
      <c r="H36" s="85">
        <v>35</v>
      </c>
      <c r="I36" s="85">
        <f>3078/100</f>
        <v>30.78</v>
      </c>
      <c r="J36" s="85">
        <v>0</v>
      </c>
      <c r="K36" s="103"/>
    </row>
    <row r="37" spans="2:11" ht="15" x14ac:dyDescent="0.2">
      <c r="B37" s="82">
        <v>6172</v>
      </c>
      <c r="C37" s="83">
        <v>5175</v>
      </c>
      <c r="D37" s="83">
        <v>0</v>
      </c>
      <c r="E37" s="83">
        <v>20000000000</v>
      </c>
      <c r="F37" s="84" t="s">
        <v>21</v>
      </c>
      <c r="G37" s="85">
        <v>0</v>
      </c>
      <c r="H37" s="85">
        <v>64</v>
      </c>
      <c r="I37" s="85">
        <v>64</v>
      </c>
      <c r="J37" s="85">
        <v>0</v>
      </c>
      <c r="K37" s="103"/>
    </row>
    <row r="38" spans="2:11" ht="15.75" thickBot="1" x14ac:dyDescent="0.25">
      <c r="B38" s="92">
        <v>6172</v>
      </c>
      <c r="C38" s="93">
        <v>5901</v>
      </c>
      <c r="D38" s="93">
        <v>0</v>
      </c>
      <c r="E38" s="93">
        <v>20000000000</v>
      </c>
      <c r="F38" s="94" t="s">
        <v>17</v>
      </c>
      <c r="G38" s="85">
        <v>1229</v>
      </c>
      <c r="H38" s="85">
        <v>1110</v>
      </c>
      <c r="I38" s="85">
        <v>0</v>
      </c>
      <c r="J38" s="85">
        <v>0</v>
      </c>
      <c r="K38" s="103">
        <f t="shared" si="0"/>
        <v>0</v>
      </c>
    </row>
    <row r="39" spans="2:11" ht="15.75" thickBot="1" x14ac:dyDescent="0.25">
      <c r="B39" s="18" t="s">
        <v>25</v>
      </c>
      <c r="C39" s="19"/>
      <c r="D39" s="19"/>
      <c r="E39" s="19"/>
      <c r="F39" s="20"/>
      <c r="G39" s="21">
        <f t="shared" ref="G39:I39" si="1">SUM(G30:G38,G29,G22:G25,G17,G14,G10:G12)</f>
        <v>781160</v>
      </c>
      <c r="H39" s="21">
        <f t="shared" si="1"/>
        <v>781610</v>
      </c>
      <c r="I39" s="21">
        <f t="shared" si="1"/>
        <v>577900.71000000008</v>
      </c>
      <c r="J39" s="21">
        <f>SUM(J30:J38,J29,J22:J25,J17,J14,J10:J12)</f>
        <v>788594</v>
      </c>
      <c r="K39" s="106">
        <f t="shared" si="0"/>
        <v>100.95166163141994</v>
      </c>
    </row>
    <row r="40" spans="2:11" x14ac:dyDescent="0.2">
      <c r="F40" s="1"/>
      <c r="G40" s="1"/>
      <c r="H40" s="1"/>
      <c r="I40" s="1"/>
      <c r="J40" s="1"/>
    </row>
    <row r="41" spans="2:11" s="123" customFormat="1" ht="14.25" x14ac:dyDescent="0.2">
      <c r="B41" s="122"/>
      <c r="F41" s="185"/>
      <c r="G41" s="185"/>
      <c r="H41" s="185"/>
      <c r="I41" s="185"/>
      <c r="J41" s="185"/>
      <c r="K41" s="186"/>
    </row>
    <row r="42" spans="2:11" s="123" customFormat="1" ht="14.25" x14ac:dyDescent="0.2">
      <c r="B42" s="122"/>
      <c r="F42" s="185"/>
      <c r="G42" s="185"/>
      <c r="H42" s="185"/>
      <c r="I42" s="185"/>
      <c r="J42" s="185"/>
      <c r="K42" s="186"/>
    </row>
    <row r="43" spans="2:11" s="123" customFormat="1" ht="14.25" x14ac:dyDescent="0.2">
      <c r="B43" s="122"/>
      <c r="F43" s="185"/>
      <c r="G43" s="185"/>
      <c r="H43" s="185"/>
      <c r="I43" s="185"/>
      <c r="J43" s="185"/>
      <c r="K43" s="186"/>
    </row>
    <row r="44" spans="2:11" s="123" customFormat="1" ht="14.25" x14ac:dyDescent="0.2">
      <c r="B44" s="122"/>
      <c r="F44" s="185"/>
      <c r="G44" s="185"/>
      <c r="H44" s="185"/>
      <c r="I44" s="185"/>
      <c r="J44" s="185"/>
      <c r="K44" s="186"/>
    </row>
    <row r="45" spans="2:11" s="123" customFormat="1" ht="14.25" x14ac:dyDescent="0.2">
      <c r="B45" s="122"/>
      <c r="F45" s="185"/>
      <c r="G45" s="185"/>
      <c r="H45" s="185"/>
      <c r="I45" s="185"/>
      <c r="J45" s="185"/>
      <c r="K45" s="186"/>
    </row>
    <row r="46" spans="2:11" s="123" customFormat="1" ht="14.25" x14ac:dyDescent="0.2">
      <c r="F46" s="185"/>
      <c r="G46" s="185"/>
      <c r="H46" s="185"/>
      <c r="I46" s="185"/>
      <c r="J46" s="185"/>
      <c r="K46" s="186"/>
    </row>
    <row r="47" spans="2:11" s="123" customFormat="1" ht="16.5" customHeight="1" x14ac:dyDescent="0.2">
      <c r="B47" s="273" t="s">
        <v>534</v>
      </c>
      <c r="C47" s="274"/>
      <c r="D47" s="274"/>
      <c r="E47" s="274"/>
      <c r="F47" s="274"/>
      <c r="G47" s="187"/>
      <c r="H47" s="187"/>
      <c r="I47" s="187"/>
      <c r="J47" s="187"/>
      <c r="K47" s="187"/>
    </row>
    <row r="48" spans="2:11" s="123" customFormat="1" ht="15.75" thickBot="1" x14ac:dyDescent="0.25">
      <c r="B48" s="22" t="s">
        <v>124</v>
      </c>
      <c r="C48" s="22"/>
      <c r="D48" s="22"/>
      <c r="E48" s="22"/>
      <c r="F48" s="23"/>
      <c r="G48" s="23"/>
      <c r="H48" s="24"/>
      <c r="I48" s="24"/>
      <c r="J48" s="24">
        <v>6500</v>
      </c>
      <c r="K48" s="108" t="s">
        <v>27</v>
      </c>
    </row>
    <row r="49" spans="2:11" s="123" customFormat="1" ht="120" customHeight="1" thickTop="1" x14ac:dyDescent="0.2">
      <c r="B49" s="265" t="s">
        <v>666</v>
      </c>
      <c r="C49" s="266"/>
      <c r="D49" s="266"/>
      <c r="E49" s="266"/>
      <c r="F49" s="266"/>
      <c r="G49" s="266"/>
      <c r="H49" s="266"/>
      <c r="I49" s="266"/>
      <c r="J49" s="266"/>
      <c r="K49" s="266"/>
    </row>
    <row r="50" spans="2:11" s="123" customFormat="1" ht="16.5" customHeight="1" x14ac:dyDescent="0.2">
      <c r="B50" s="238"/>
      <c r="C50" s="240"/>
      <c r="D50" s="240"/>
      <c r="E50" s="240"/>
      <c r="F50" s="240"/>
      <c r="G50" s="240"/>
      <c r="H50" s="240"/>
      <c r="I50" s="240"/>
      <c r="J50" s="240"/>
      <c r="K50" s="240"/>
    </row>
    <row r="51" spans="2:11" s="123" customFormat="1" ht="16.5" customHeight="1" x14ac:dyDescent="0.2">
      <c r="B51" s="238"/>
      <c r="C51" s="240"/>
      <c r="D51" s="240"/>
      <c r="E51" s="240"/>
      <c r="F51" s="240"/>
      <c r="G51" s="240"/>
      <c r="H51" s="240"/>
      <c r="I51" s="240"/>
      <c r="J51" s="240"/>
      <c r="K51" s="240"/>
    </row>
    <row r="52" spans="2:11" s="123" customFormat="1" ht="16.5" customHeight="1" x14ac:dyDescent="0.2">
      <c r="B52" s="238"/>
      <c r="C52" s="240"/>
      <c r="D52" s="240"/>
      <c r="E52" s="240"/>
      <c r="F52" s="240"/>
      <c r="G52" s="240"/>
      <c r="H52" s="240"/>
      <c r="I52" s="240"/>
      <c r="J52" s="240"/>
      <c r="K52" s="240"/>
    </row>
    <row r="53" spans="2:11" s="123" customFormat="1" ht="16.5" customHeight="1" x14ac:dyDescent="0.2">
      <c r="B53" s="238"/>
      <c r="C53" s="240"/>
      <c r="D53" s="240"/>
      <c r="E53" s="240"/>
      <c r="F53" s="240"/>
      <c r="G53" s="240"/>
      <c r="H53" s="240"/>
      <c r="I53" s="240"/>
      <c r="J53" s="240"/>
      <c r="K53" s="240"/>
    </row>
    <row r="54" spans="2:11" s="123" customFormat="1" ht="16.5" customHeight="1" x14ac:dyDescent="0.2">
      <c r="B54" s="273" t="s">
        <v>535</v>
      </c>
      <c r="C54" s="274"/>
      <c r="D54" s="274"/>
      <c r="E54" s="274"/>
      <c r="F54" s="274"/>
      <c r="G54" s="187"/>
      <c r="H54" s="187"/>
      <c r="I54" s="187"/>
      <c r="J54" s="187"/>
      <c r="K54" s="187"/>
    </row>
    <row r="55" spans="2:11" s="123" customFormat="1" ht="15.75" thickBot="1" x14ac:dyDescent="0.25">
      <c r="B55" s="22" t="s">
        <v>125</v>
      </c>
      <c r="C55" s="22"/>
      <c r="D55" s="22"/>
      <c r="E55" s="22"/>
      <c r="F55" s="23"/>
      <c r="G55" s="23"/>
      <c r="H55" s="24"/>
      <c r="I55" s="24"/>
      <c r="J55" s="24">
        <v>365572</v>
      </c>
      <c r="K55" s="108" t="s">
        <v>27</v>
      </c>
    </row>
    <row r="56" spans="2:11" s="123" customFormat="1" ht="258.75" customHeight="1" thickTop="1" x14ac:dyDescent="0.2">
      <c r="B56" s="265" t="s">
        <v>679</v>
      </c>
      <c r="C56" s="266"/>
      <c r="D56" s="266"/>
      <c r="E56" s="266"/>
      <c r="F56" s="266"/>
      <c r="G56" s="266"/>
      <c r="H56" s="266"/>
      <c r="I56" s="266"/>
      <c r="J56" s="266"/>
      <c r="K56" s="266"/>
    </row>
    <row r="57" spans="2:11" s="123" customFormat="1" ht="15.75" thickBot="1" x14ac:dyDescent="0.25">
      <c r="B57" s="22" t="s">
        <v>125</v>
      </c>
      <c r="C57" s="22"/>
      <c r="D57" s="22"/>
      <c r="E57" s="22"/>
      <c r="F57" s="23"/>
      <c r="G57" s="23"/>
      <c r="H57" s="24"/>
      <c r="I57" s="24"/>
      <c r="J57" s="24">
        <v>1500</v>
      </c>
      <c r="K57" s="108" t="s">
        <v>27</v>
      </c>
    </row>
    <row r="58" spans="2:11" s="123" customFormat="1" ht="74.25" customHeight="1" thickTop="1" x14ac:dyDescent="0.2">
      <c r="B58" s="265" t="s">
        <v>437</v>
      </c>
      <c r="C58" s="266"/>
      <c r="D58" s="266"/>
      <c r="E58" s="266"/>
      <c r="F58" s="266"/>
      <c r="G58" s="266"/>
      <c r="H58" s="266"/>
      <c r="I58" s="266"/>
      <c r="J58" s="266"/>
      <c r="K58" s="266"/>
    </row>
    <row r="59" spans="2:11" s="123" customFormat="1" ht="15.75" thickBot="1" x14ac:dyDescent="0.25">
      <c r="B59" s="22" t="s">
        <v>126</v>
      </c>
      <c r="C59" s="22"/>
      <c r="D59" s="22"/>
      <c r="E59" s="22"/>
      <c r="F59" s="23"/>
      <c r="G59" s="23"/>
      <c r="H59" s="24"/>
      <c r="I59" s="24"/>
      <c r="J59" s="24">
        <v>80</v>
      </c>
      <c r="K59" s="108" t="s">
        <v>27</v>
      </c>
    </row>
    <row r="60" spans="2:11" s="123" customFormat="1" ht="54" customHeight="1" thickTop="1" x14ac:dyDescent="0.2">
      <c r="B60" s="265" t="s">
        <v>507</v>
      </c>
      <c r="C60" s="266"/>
      <c r="D60" s="266"/>
      <c r="E60" s="266"/>
      <c r="F60" s="266"/>
      <c r="G60" s="266"/>
      <c r="H60" s="266"/>
      <c r="I60" s="266"/>
      <c r="J60" s="266"/>
      <c r="K60" s="266"/>
    </row>
    <row r="61" spans="2:11" s="123" customFormat="1" ht="15.75" thickBot="1" x14ac:dyDescent="0.25">
      <c r="B61" s="22" t="s">
        <v>127</v>
      </c>
      <c r="C61" s="22"/>
      <c r="D61" s="22"/>
      <c r="E61" s="22"/>
      <c r="F61" s="23"/>
      <c r="G61" s="23"/>
      <c r="H61" s="24"/>
      <c r="I61" s="24"/>
      <c r="J61" s="24">
        <v>160</v>
      </c>
      <c r="K61" s="108" t="s">
        <v>27</v>
      </c>
    </row>
    <row r="62" spans="2:11" s="123" customFormat="1" ht="40.5" customHeight="1" thickTop="1" x14ac:dyDescent="0.2">
      <c r="B62" s="265" t="s">
        <v>438</v>
      </c>
      <c r="C62" s="266"/>
      <c r="D62" s="266"/>
      <c r="E62" s="266"/>
      <c r="F62" s="266"/>
      <c r="G62" s="266"/>
      <c r="H62" s="266"/>
      <c r="I62" s="266"/>
      <c r="J62" s="266"/>
      <c r="K62" s="266"/>
    </row>
    <row r="63" spans="2:11" s="123" customFormat="1" ht="15.75" thickBot="1" x14ac:dyDescent="0.25">
      <c r="B63" s="22" t="s">
        <v>128</v>
      </c>
      <c r="C63" s="22"/>
      <c r="D63" s="22"/>
      <c r="E63" s="22"/>
      <c r="F63" s="23"/>
      <c r="G63" s="23"/>
      <c r="H63" s="24"/>
      <c r="I63" s="24"/>
      <c r="J63" s="24">
        <v>750</v>
      </c>
      <c r="K63" s="108" t="s">
        <v>27</v>
      </c>
    </row>
    <row r="64" spans="2:11" s="123" customFormat="1" ht="82.5" customHeight="1" thickTop="1" x14ac:dyDescent="0.2">
      <c r="B64" s="265" t="s">
        <v>439</v>
      </c>
      <c r="C64" s="266"/>
      <c r="D64" s="266"/>
      <c r="E64" s="266"/>
      <c r="F64" s="266"/>
      <c r="G64" s="266"/>
      <c r="H64" s="266"/>
      <c r="I64" s="266"/>
      <c r="J64" s="266"/>
      <c r="K64" s="266"/>
    </row>
    <row r="65" spans="2:11" s="123" customFormat="1" ht="16.5" customHeight="1" x14ac:dyDescent="0.2">
      <c r="B65" s="273" t="s">
        <v>538</v>
      </c>
      <c r="C65" s="274"/>
      <c r="D65" s="274"/>
      <c r="E65" s="274"/>
      <c r="F65" s="274"/>
      <c r="G65" s="187"/>
      <c r="H65" s="187"/>
      <c r="I65" s="187"/>
      <c r="J65" s="187"/>
      <c r="K65" s="187"/>
    </row>
    <row r="66" spans="2:11" s="123" customFormat="1" ht="15.75" thickBot="1" x14ac:dyDescent="0.25">
      <c r="B66" s="22" t="s">
        <v>129</v>
      </c>
      <c r="C66" s="22"/>
      <c r="D66" s="22"/>
      <c r="E66" s="22"/>
      <c r="F66" s="23"/>
      <c r="G66" s="23"/>
      <c r="H66" s="24"/>
      <c r="I66" s="24"/>
      <c r="J66" s="24">
        <v>414015</v>
      </c>
      <c r="K66" s="108" t="s">
        <v>27</v>
      </c>
    </row>
    <row r="67" spans="2:11" s="123" customFormat="1" ht="124.5" customHeight="1" thickTop="1" x14ac:dyDescent="0.2">
      <c r="B67" s="265" t="s">
        <v>667</v>
      </c>
      <c r="C67" s="266"/>
      <c r="D67" s="266"/>
      <c r="E67" s="266"/>
      <c r="F67" s="266"/>
      <c r="G67" s="266"/>
      <c r="H67" s="266"/>
      <c r="I67" s="266"/>
      <c r="J67" s="266"/>
      <c r="K67" s="266"/>
    </row>
    <row r="68" spans="2:11" s="123" customFormat="1" ht="15.75" thickBot="1" x14ac:dyDescent="0.25">
      <c r="B68" s="22" t="s">
        <v>68</v>
      </c>
      <c r="C68" s="22"/>
      <c r="D68" s="22"/>
      <c r="E68" s="22"/>
      <c r="F68" s="23"/>
      <c r="G68" s="23"/>
      <c r="H68" s="24"/>
      <c r="I68" s="24"/>
      <c r="J68" s="24">
        <v>17</v>
      </c>
      <c r="K68" s="108" t="s">
        <v>27</v>
      </c>
    </row>
    <row r="69" spans="2:11" s="123" customFormat="1" ht="60" customHeight="1" thickTop="1" x14ac:dyDescent="0.2">
      <c r="B69" s="265" t="s">
        <v>506</v>
      </c>
      <c r="C69" s="266"/>
      <c r="D69" s="266"/>
      <c r="E69" s="266"/>
      <c r="F69" s="266"/>
      <c r="G69" s="266"/>
      <c r="H69" s="266"/>
      <c r="I69" s="266"/>
      <c r="J69" s="266"/>
      <c r="K69" s="266"/>
    </row>
    <row r="70" spans="2:11" s="123" customFormat="1" ht="14.25" x14ac:dyDescent="0.2">
      <c r="K70" s="186"/>
    </row>
    <row r="71" spans="2:11" s="123" customFormat="1" ht="14.25" x14ac:dyDescent="0.2">
      <c r="K71" s="186"/>
    </row>
    <row r="72" spans="2:11" s="123" customFormat="1" ht="14.25" x14ac:dyDescent="0.2">
      <c r="K72" s="186"/>
    </row>
    <row r="73" spans="2:11" s="123" customFormat="1" ht="14.25" x14ac:dyDescent="0.2">
      <c r="K73" s="186"/>
    </row>
    <row r="74" spans="2:11" s="123" customFormat="1" ht="14.25" x14ac:dyDescent="0.2">
      <c r="K74" s="186"/>
    </row>
    <row r="75" spans="2:11" s="123" customFormat="1" ht="14.25" x14ac:dyDescent="0.2">
      <c r="K75" s="186"/>
    </row>
    <row r="76" spans="2:11" s="123" customFormat="1" ht="14.25" x14ac:dyDescent="0.2">
      <c r="K76" s="186"/>
    </row>
    <row r="77" spans="2:11" s="123" customFormat="1" ht="14.25" x14ac:dyDescent="0.2">
      <c r="K77" s="186"/>
    </row>
    <row r="78" spans="2:11" s="123" customFormat="1" ht="14.25" x14ac:dyDescent="0.2">
      <c r="K78" s="186"/>
    </row>
    <row r="79" spans="2:11" s="123" customFormat="1" ht="14.25" x14ac:dyDescent="0.2">
      <c r="K79" s="186"/>
    </row>
    <row r="80" spans="2:11" s="123" customFormat="1" ht="14.25" x14ac:dyDescent="0.2">
      <c r="K80" s="186"/>
    </row>
  </sheetData>
  <mergeCells count="16">
    <mergeCell ref="B69:K69"/>
    <mergeCell ref="F11:I11"/>
    <mergeCell ref="F15:I15"/>
    <mergeCell ref="B47:F47"/>
    <mergeCell ref="F18:I18"/>
    <mergeCell ref="B56:K56"/>
    <mergeCell ref="B65:F65"/>
    <mergeCell ref="B60:K60"/>
    <mergeCell ref="B62:K62"/>
    <mergeCell ref="B64:K64"/>
    <mergeCell ref="B67:K67"/>
    <mergeCell ref="B2:F2"/>
    <mergeCell ref="B49:K49"/>
    <mergeCell ref="B58:K58"/>
    <mergeCell ref="B54:F54"/>
    <mergeCell ref="F26:I26"/>
  </mergeCells>
  <pageMargins left="0.70866141732283472" right="0.70866141732283472" top="0.78740157480314965" bottom="0.78740157480314965" header="0.31496062992125984" footer="0.31496062992125984"/>
  <pageSetup paperSize="9" scale="74" firstPageNumber="64" fitToHeight="9999" orientation="portrait" useFirstPageNumber="1" r:id="rId1"/>
  <headerFooter>
    <oddFooter>&amp;L&amp;"Arial CE,Kurzíva"Zastupitelstvo Olomouckého kraje 16-12-2011
6. - Rozpočet Olomouckého kraje 2012 - návrh rozpočtu 
Příloha č. 3a): Výdaje odborů (kanceláří)&amp;R&amp;"Arial CE,Kurzíva"Strana &amp;P (celkem 167)</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pageSetUpPr fitToPage="1"/>
  </sheetPr>
  <dimension ref="B1:K91"/>
  <sheetViews>
    <sheetView showGridLines="0" view="pageBreakPreview" topLeftCell="A64" zoomScaleNormal="100" zoomScaleSheetLayoutView="100" workbookViewId="0">
      <selection activeCell="I18" sqref="I18"/>
    </sheetView>
  </sheetViews>
  <sheetFormatPr defaultRowHeight="12.75" x14ac:dyDescent="0.2"/>
  <cols>
    <col min="1" max="1" width="0.42578125" customWidth="1"/>
    <col min="2" max="2" width="8.85546875" customWidth="1"/>
    <col min="3" max="3" width="5.28515625" customWidth="1"/>
    <col min="4" max="4" width="9.7109375" customWidth="1"/>
    <col min="5" max="5" width="12.7109375" customWidth="1"/>
    <col min="6" max="6" width="37.7109375" customWidth="1"/>
    <col min="7" max="10" width="10.7109375" customWidth="1"/>
    <col min="11" max="11" width="7.7109375" style="107" customWidth="1"/>
  </cols>
  <sheetData>
    <row r="1" spans="2:11" ht="6.75" customHeight="1" x14ac:dyDescent="0.2"/>
    <row r="2" spans="2:11" ht="33.950000000000003" customHeight="1" x14ac:dyDescent="0.2">
      <c r="B2" s="267" t="s">
        <v>102</v>
      </c>
      <c r="C2" s="268"/>
      <c r="D2" s="268"/>
      <c r="E2" s="268"/>
      <c r="F2" s="268"/>
      <c r="G2" s="3"/>
      <c r="H2" s="3"/>
      <c r="I2" s="3"/>
      <c r="J2" s="3"/>
      <c r="K2" s="98" t="s">
        <v>103</v>
      </c>
    </row>
    <row r="3" spans="2:11" ht="9" customHeight="1" x14ac:dyDescent="0.2">
      <c r="B3" s="77"/>
      <c r="C3" s="78"/>
      <c r="D3" s="78"/>
      <c r="E3" s="78"/>
      <c r="F3" s="78"/>
      <c r="G3" s="3"/>
      <c r="H3" s="3"/>
      <c r="I3" s="3"/>
      <c r="J3" s="3"/>
      <c r="K3" s="98"/>
    </row>
    <row r="4" spans="2:11" s="123" customFormat="1" ht="15" x14ac:dyDescent="0.2">
      <c r="B4" s="188" t="s">
        <v>0</v>
      </c>
      <c r="C4" s="188"/>
      <c r="D4" s="188" t="s">
        <v>104</v>
      </c>
      <c r="E4" s="189"/>
      <c r="F4" s="189"/>
      <c r="G4" s="189"/>
      <c r="H4" s="189"/>
      <c r="I4" s="189"/>
      <c r="J4" s="189"/>
      <c r="K4" s="190"/>
    </row>
    <row r="5" spans="2:11" s="123" customFormat="1" ht="15" x14ac:dyDescent="0.2">
      <c r="B5" s="188"/>
      <c r="C5" s="188"/>
      <c r="D5" s="188" t="s">
        <v>33</v>
      </c>
      <c r="E5" s="189"/>
      <c r="F5" s="189"/>
      <c r="G5" s="189"/>
      <c r="H5" s="189"/>
      <c r="I5" s="189"/>
      <c r="J5" s="189"/>
      <c r="K5" s="190"/>
    </row>
    <row r="6" spans="2:11" ht="13.5" thickBot="1" x14ac:dyDescent="0.25">
      <c r="B6" s="5"/>
      <c r="C6" s="5"/>
      <c r="D6" s="5"/>
      <c r="E6" s="5"/>
      <c r="F6" s="5"/>
      <c r="G6" s="5"/>
      <c r="H6" s="5"/>
      <c r="I6" s="5"/>
      <c r="J6" s="5"/>
      <c r="K6" s="99" t="s">
        <v>3</v>
      </c>
    </row>
    <row r="7" spans="2:11" ht="35.1" customHeight="1" x14ac:dyDescent="0.2">
      <c r="B7" s="7" t="s">
        <v>4</v>
      </c>
      <c r="C7" s="8" t="s">
        <v>5</v>
      </c>
      <c r="D7" s="8" t="s">
        <v>6</v>
      </c>
      <c r="E7" s="8" t="s">
        <v>7</v>
      </c>
      <c r="F7" s="6" t="s">
        <v>8</v>
      </c>
      <c r="G7" s="6" t="s">
        <v>9</v>
      </c>
      <c r="H7" s="6" t="s">
        <v>10</v>
      </c>
      <c r="I7" s="6" t="s">
        <v>11</v>
      </c>
      <c r="J7" s="6" t="s">
        <v>12</v>
      </c>
      <c r="K7" s="100" t="s">
        <v>13</v>
      </c>
    </row>
    <row r="8" spans="2:11" ht="13.5" thickBot="1" x14ac:dyDescent="0.25">
      <c r="B8" s="10">
        <v>1</v>
      </c>
      <c r="C8" s="11">
        <v>2</v>
      </c>
      <c r="D8" s="11">
        <v>3</v>
      </c>
      <c r="E8" s="11">
        <v>4</v>
      </c>
      <c r="F8" s="12">
        <v>5</v>
      </c>
      <c r="G8" s="12">
        <v>6</v>
      </c>
      <c r="H8" s="12">
        <v>7</v>
      </c>
      <c r="I8" s="12">
        <v>8</v>
      </c>
      <c r="J8" s="12">
        <v>9</v>
      </c>
      <c r="K8" s="101" t="s">
        <v>14</v>
      </c>
    </row>
    <row r="9" spans="2:11" x14ac:dyDescent="0.2">
      <c r="B9" s="79"/>
      <c r="C9" s="80"/>
      <c r="D9" s="80"/>
      <c r="E9" s="80"/>
      <c r="F9" s="96" t="s">
        <v>516</v>
      </c>
      <c r="G9" s="81"/>
      <c r="H9" s="81"/>
      <c r="I9" s="81"/>
      <c r="J9" s="81"/>
      <c r="K9" s="102"/>
    </row>
    <row r="10" spans="2:11" ht="25.5" x14ac:dyDescent="0.2">
      <c r="B10" s="82">
        <v>3311</v>
      </c>
      <c r="C10" s="83">
        <v>5213</v>
      </c>
      <c r="D10" s="83">
        <v>200</v>
      </c>
      <c r="E10" s="83">
        <v>30102000000</v>
      </c>
      <c r="F10" s="84" t="s">
        <v>88</v>
      </c>
      <c r="G10" s="85">
        <v>304</v>
      </c>
      <c r="H10" s="85">
        <v>304</v>
      </c>
      <c r="I10" s="85">
        <v>304</v>
      </c>
      <c r="J10" s="85">
        <v>304</v>
      </c>
      <c r="K10" s="103">
        <f>J10/G10*100</f>
        <v>100</v>
      </c>
    </row>
    <row r="11" spans="2:11" ht="15" x14ac:dyDescent="0.2">
      <c r="B11" s="82">
        <v>3311</v>
      </c>
      <c r="C11" s="83">
        <v>5321</v>
      </c>
      <c r="D11" s="83">
        <v>200</v>
      </c>
      <c r="E11" s="83">
        <v>30100008357</v>
      </c>
      <c r="F11" s="84" t="s">
        <v>106</v>
      </c>
      <c r="G11" s="85">
        <v>1392</v>
      </c>
      <c r="H11" s="85">
        <v>1392</v>
      </c>
      <c r="I11" s="85">
        <v>1392</v>
      </c>
      <c r="J11" s="85">
        <v>1392</v>
      </c>
      <c r="K11" s="103">
        <f>J11/G11*100</f>
        <v>100</v>
      </c>
    </row>
    <row r="12" spans="2:11" ht="15" x14ac:dyDescent="0.2">
      <c r="B12" s="82">
        <v>3312</v>
      </c>
      <c r="C12" s="83">
        <v>5321</v>
      </c>
      <c r="D12" s="83">
        <v>200</v>
      </c>
      <c r="E12" s="83">
        <v>30100008357</v>
      </c>
      <c r="F12" s="84" t="s">
        <v>106</v>
      </c>
      <c r="G12" s="85">
        <v>304</v>
      </c>
      <c r="H12" s="85">
        <v>304</v>
      </c>
      <c r="I12" s="85">
        <v>304</v>
      </c>
      <c r="J12" s="85">
        <v>304</v>
      </c>
      <c r="K12" s="103">
        <f>J12/G12*100</f>
        <v>100</v>
      </c>
    </row>
    <row r="13" spans="2:11" ht="14.25" x14ac:dyDescent="0.2">
      <c r="B13" s="82"/>
      <c r="C13" s="83"/>
      <c r="D13" s="83"/>
      <c r="E13" s="83"/>
      <c r="F13" s="84"/>
      <c r="G13" s="87">
        <f>SUM(G10:G12)</f>
        <v>2000</v>
      </c>
      <c r="H13" s="87">
        <f>SUM(H10:H12)</f>
        <v>2000</v>
      </c>
      <c r="I13" s="87">
        <f>SUM(I10:I12)</f>
        <v>2000</v>
      </c>
      <c r="J13" s="87">
        <f>SUM(J10:J12)</f>
        <v>2000</v>
      </c>
      <c r="K13" s="104">
        <f>J13/G13*100</f>
        <v>100</v>
      </c>
    </row>
    <row r="14" spans="2:11" ht="14.25" customHeight="1" x14ac:dyDescent="0.2">
      <c r="B14" s="82"/>
      <c r="C14" s="83"/>
      <c r="D14" s="83"/>
      <c r="E14" s="83"/>
      <c r="F14" s="276" t="s">
        <v>517</v>
      </c>
      <c r="G14" s="311"/>
      <c r="H14" s="312"/>
      <c r="I14" s="87"/>
      <c r="J14" s="87"/>
      <c r="K14" s="104"/>
    </row>
    <row r="15" spans="2:11" ht="15" x14ac:dyDescent="0.2">
      <c r="B15" s="82">
        <v>3314</v>
      </c>
      <c r="C15" s="83">
        <v>5321</v>
      </c>
      <c r="D15" s="83">
        <v>204</v>
      </c>
      <c r="E15" s="83"/>
      <c r="F15" s="84" t="s">
        <v>106</v>
      </c>
      <c r="G15" s="85">
        <v>9300</v>
      </c>
      <c r="H15" s="85">
        <v>8400</v>
      </c>
      <c r="I15" s="85">
        <v>6300</v>
      </c>
      <c r="J15" s="85">
        <v>9300</v>
      </c>
      <c r="K15" s="103">
        <f>J15/G15*100</f>
        <v>100</v>
      </c>
    </row>
    <row r="16" spans="2:11" ht="15" x14ac:dyDescent="0.2">
      <c r="B16" s="82">
        <v>3314</v>
      </c>
      <c r="C16" s="83">
        <v>5331</v>
      </c>
      <c r="D16" s="83">
        <v>204</v>
      </c>
      <c r="E16" s="83">
        <v>30003001601</v>
      </c>
      <c r="F16" s="84" t="s">
        <v>452</v>
      </c>
      <c r="G16" s="85">
        <v>0</v>
      </c>
      <c r="H16" s="85">
        <v>900</v>
      </c>
      <c r="I16" s="85">
        <v>900</v>
      </c>
      <c r="J16" s="85"/>
      <c r="K16" s="103"/>
    </row>
    <row r="17" spans="2:11" ht="14.25" x14ac:dyDescent="0.2">
      <c r="B17" s="82"/>
      <c r="C17" s="83"/>
      <c r="D17" s="83"/>
      <c r="E17" s="83"/>
      <c r="F17" s="84"/>
      <c r="G17" s="87">
        <f>SUM(G15:G16)</f>
        <v>9300</v>
      </c>
      <c r="H17" s="87">
        <f>SUM(H15:H16)</f>
        <v>9300</v>
      </c>
      <c r="I17" s="87">
        <f>SUM(I15:I16)</f>
        <v>7200</v>
      </c>
      <c r="J17" s="87">
        <f>SUM(J15:J16)</f>
        <v>9300</v>
      </c>
      <c r="K17" s="104">
        <f>J17/G17*100</f>
        <v>100</v>
      </c>
    </row>
    <row r="18" spans="2:11" ht="25.5" x14ac:dyDescent="0.2">
      <c r="B18" s="82">
        <v>3315</v>
      </c>
      <c r="C18" s="83">
        <v>5339</v>
      </c>
      <c r="D18" s="83">
        <v>16</v>
      </c>
      <c r="E18" s="83">
        <v>30103003009</v>
      </c>
      <c r="F18" s="84" t="s">
        <v>85</v>
      </c>
      <c r="G18" s="85">
        <v>26000</v>
      </c>
      <c r="H18" s="85">
        <v>26000</v>
      </c>
      <c r="I18" s="85">
        <v>19500</v>
      </c>
      <c r="J18" s="85">
        <v>25000</v>
      </c>
      <c r="K18" s="103">
        <f>J18/G18*100</f>
        <v>96.15384615384616</v>
      </c>
    </row>
    <row r="19" spans="2:11" ht="25.5" x14ac:dyDescent="0.2">
      <c r="B19" s="82">
        <v>3319</v>
      </c>
      <c r="C19" s="83">
        <v>5166</v>
      </c>
      <c r="D19" s="83">
        <v>0</v>
      </c>
      <c r="E19" s="83">
        <v>20000000000</v>
      </c>
      <c r="F19" s="84" t="s">
        <v>42</v>
      </c>
      <c r="G19" s="85">
        <v>25</v>
      </c>
      <c r="H19" s="85">
        <v>25</v>
      </c>
      <c r="I19" s="85">
        <v>0</v>
      </c>
      <c r="J19" s="85">
        <v>25</v>
      </c>
      <c r="K19" s="103">
        <f>J19/G19*100</f>
        <v>100</v>
      </c>
    </row>
    <row r="20" spans="2:11" ht="15" x14ac:dyDescent="0.2">
      <c r="B20" s="82">
        <v>3319</v>
      </c>
      <c r="C20" s="83">
        <v>5169</v>
      </c>
      <c r="D20" s="83">
        <v>0</v>
      </c>
      <c r="E20" s="83">
        <v>20000000000</v>
      </c>
      <c r="F20" s="84" t="s">
        <v>15</v>
      </c>
      <c r="G20" s="85">
        <v>635</v>
      </c>
      <c r="H20" s="85">
        <v>560</v>
      </c>
      <c r="I20" s="85">
        <v>560</v>
      </c>
      <c r="J20" s="85">
        <v>535</v>
      </c>
      <c r="K20" s="103">
        <f>J20/G20*100</f>
        <v>84.251968503937007</v>
      </c>
    </row>
    <row r="21" spans="2:11" ht="15" x14ac:dyDescent="0.2">
      <c r="B21" s="82">
        <v>3319</v>
      </c>
      <c r="C21" s="83">
        <v>5169</v>
      </c>
      <c r="D21" s="83">
        <v>16</v>
      </c>
      <c r="E21" s="83">
        <v>20000000000</v>
      </c>
      <c r="F21" s="84" t="s">
        <v>15</v>
      </c>
      <c r="G21" s="85">
        <v>0</v>
      </c>
      <c r="H21" s="85">
        <v>0</v>
      </c>
      <c r="I21" s="85">
        <v>0</v>
      </c>
      <c r="J21" s="85">
        <f>8010/100</f>
        <v>80.099999999999994</v>
      </c>
      <c r="K21" s="103"/>
    </row>
    <row r="22" spans="2:11" ht="15" x14ac:dyDescent="0.2">
      <c r="B22" s="82">
        <v>3319</v>
      </c>
      <c r="C22" s="83">
        <v>5194</v>
      </c>
      <c r="D22" s="83">
        <v>0</v>
      </c>
      <c r="E22" s="83">
        <v>20000000000</v>
      </c>
      <c r="F22" s="84" t="s">
        <v>24</v>
      </c>
      <c r="G22" s="85">
        <v>140</v>
      </c>
      <c r="H22" s="85">
        <v>140</v>
      </c>
      <c r="I22" s="85">
        <v>140</v>
      </c>
      <c r="J22" s="85">
        <v>140</v>
      </c>
      <c r="K22" s="103">
        <f>J22/G22*100</f>
        <v>100</v>
      </c>
    </row>
    <row r="23" spans="2:11" ht="15" x14ac:dyDescent="0.2">
      <c r="B23" s="82"/>
      <c r="C23" s="83"/>
      <c r="D23" s="83"/>
      <c r="E23" s="83"/>
      <c r="F23" s="96" t="s">
        <v>518</v>
      </c>
      <c r="G23" s="85"/>
      <c r="H23" s="85"/>
      <c r="I23" s="85"/>
      <c r="J23" s="85"/>
      <c r="K23" s="103"/>
    </row>
    <row r="24" spans="2:11" ht="25.5" x14ac:dyDescent="0.2">
      <c r="B24" s="82">
        <v>3322</v>
      </c>
      <c r="C24" s="83">
        <v>5223</v>
      </c>
      <c r="D24" s="83">
        <v>209</v>
      </c>
      <c r="E24" s="83">
        <v>30102000000</v>
      </c>
      <c r="F24" s="84" t="s">
        <v>105</v>
      </c>
      <c r="G24" s="85">
        <v>22850</v>
      </c>
      <c r="H24" s="85">
        <v>0</v>
      </c>
      <c r="I24" s="85">
        <v>0</v>
      </c>
      <c r="J24" s="173">
        <v>23250</v>
      </c>
      <c r="K24" s="103">
        <f>J24/G24*100</f>
        <v>101.75054704595186</v>
      </c>
    </row>
    <row r="25" spans="2:11" ht="25.5" customHeight="1" x14ac:dyDescent="0.2">
      <c r="B25" s="116" t="s">
        <v>519</v>
      </c>
      <c r="C25" s="83">
        <v>5212</v>
      </c>
      <c r="D25" s="117">
        <v>212</v>
      </c>
      <c r="E25" s="83"/>
      <c r="F25" s="84" t="s">
        <v>87</v>
      </c>
      <c r="G25" s="85">
        <v>0</v>
      </c>
      <c r="H25" s="85">
        <v>640</v>
      </c>
      <c r="I25" s="85">
        <v>640</v>
      </c>
      <c r="J25" s="85">
        <v>0</v>
      </c>
      <c r="K25" s="103"/>
    </row>
    <row r="26" spans="2:11" ht="24.75" customHeight="1" x14ac:dyDescent="0.2">
      <c r="B26" s="120" t="s">
        <v>520</v>
      </c>
      <c r="C26" s="83">
        <v>5213</v>
      </c>
      <c r="D26" s="117">
        <v>211.21199999999999</v>
      </c>
      <c r="E26" s="83"/>
      <c r="F26" s="84" t="s">
        <v>88</v>
      </c>
      <c r="G26" s="85">
        <v>0</v>
      </c>
      <c r="H26" s="85">
        <v>1820</v>
      </c>
      <c r="I26" s="85">
        <v>1670</v>
      </c>
      <c r="J26" s="85">
        <v>0</v>
      </c>
      <c r="K26" s="103"/>
    </row>
    <row r="27" spans="2:11" ht="24.75" customHeight="1" x14ac:dyDescent="0.2">
      <c r="B27" s="116" t="s">
        <v>522</v>
      </c>
      <c r="C27" s="83">
        <v>5221</v>
      </c>
      <c r="D27" s="117">
        <v>212</v>
      </c>
      <c r="E27" s="83"/>
      <c r="F27" s="84" t="s">
        <v>83</v>
      </c>
      <c r="G27" s="85">
        <v>0</v>
      </c>
      <c r="H27" s="85">
        <v>150</v>
      </c>
      <c r="I27" s="85">
        <v>150</v>
      </c>
      <c r="J27" s="85">
        <v>0</v>
      </c>
      <c r="K27" s="103"/>
    </row>
    <row r="28" spans="2:11" ht="36" customHeight="1" x14ac:dyDescent="0.2">
      <c r="B28" s="116" t="s">
        <v>523</v>
      </c>
      <c r="C28" s="83">
        <v>5222</v>
      </c>
      <c r="D28" s="117" t="s">
        <v>525</v>
      </c>
      <c r="E28" s="83"/>
      <c r="F28" s="84" t="s">
        <v>84</v>
      </c>
      <c r="G28" s="85">
        <v>0</v>
      </c>
      <c r="H28" s="85">
        <v>5525</v>
      </c>
      <c r="I28" s="85">
        <v>4475</v>
      </c>
      <c r="J28" s="85">
        <v>0</v>
      </c>
      <c r="K28" s="103"/>
    </row>
    <row r="29" spans="2:11" ht="24.75" customHeight="1" x14ac:dyDescent="0.2">
      <c r="B29" s="116" t="s">
        <v>524</v>
      </c>
      <c r="C29" s="83">
        <v>5223</v>
      </c>
      <c r="D29" s="117" t="s">
        <v>526</v>
      </c>
      <c r="E29" s="83"/>
      <c r="F29" s="84" t="s">
        <v>105</v>
      </c>
      <c r="G29" s="85">
        <v>0</v>
      </c>
      <c r="H29" s="85">
        <v>4457</v>
      </c>
      <c r="I29" s="85">
        <v>719</v>
      </c>
      <c r="J29" s="85">
        <v>0</v>
      </c>
      <c r="K29" s="103"/>
    </row>
    <row r="30" spans="2:11" ht="30.75" customHeight="1" x14ac:dyDescent="0.2">
      <c r="B30" s="116" t="s">
        <v>520</v>
      </c>
      <c r="C30" s="83">
        <v>5321</v>
      </c>
      <c r="D30" s="117" t="s">
        <v>525</v>
      </c>
      <c r="E30" s="83"/>
      <c r="F30" s="84" t="s">
        <v>106</v>
      </c>
      <c r="G30" s="85">
        <v>0</v>
      </c>
      <c r="H30" s="85">
        <v>7754</v>
      </c>
      <c r="I30" s="85">
        <v>3428</v>
      </c>
      <c r="J30" s="85">
        <v>0</v>
      </c>
      <c r="K30" s="103"/>
    </row>
    <row r="31" spans="2:11" ht="15" x14ac:dyDescent="0.2">
      <c r="B31" s="116">
        <v>3312</v>
      </c>
      <c r="C31" s="83">
        <v>5331</v>
      </c>
      <c r="D31" s="117">
        <v>212</v>
      </c>
      <c r="E31" s="83"/>
      <c r="F31" s="84" t="s">
        <v>452</v>
      </c>
      <c r="G31" s="85">
        <v>0</v>
      </c>
      <c r="H31" s="85">
        <v>40</v>
      </c>
      <c r="I31" s="85">
        <v>40</v>
      </c>
      <c r="J31" s="85">
        <v>0</v>
      </c>
      <c r="K31" s="103"/>
    </row>
    <row r="32" spans="2:11" ht="25.5" x14ac:dyDescent="0.2">
      <c r="B32" s="116" t="s">
        <v>527</v>
      </c>
      <c r="C32" s="83">
        <v>5339</v>
      </c>
      <c r="D32" s="83">
        <v>212</v>
      </c>
      <c r="E32" s="83"/>
      <c r="F32" s="84" t="s">
        <v>85</v>
      </c>
      <c r="G32" s="85">
        <v>0</v>
      </c>
      <c r="H32" s="85">
        <v>170</v>
      </c>
      <c r="I32" s="85">
        <v>170</v>
      </c>
      <c r="J32" s="85">
        <v>0</v>
      </c>
      <c r="K32" s="103"/>
    </row>
    <row r="33" spans="2:11" ht="25.5" x14ac:dyDescent="0.2">
      <c r="B33" s="116" t="s">
        <v>524</v>
      </c>
      <c r="C33" s="83">
        <v>5493</v>
      </c>
      <c r="D33" s="117" t="s">
        <v>525</v>
      </c>
      <c r="E33" s="83"/>
      <c r="F33" s="84" t="s">
        <v>107</v>
      </c>
      <c r="G33" s="85">
        <v>0</v>
      </c>
      <c r="H33" s="85">
        <v>1909</v>
      </c>
      <c r="I33" s="85">
        <v>469</v>
      </c>
      <c r="J33" s="85">
        <v>0</v>
      </c>
      <c r="K33" s="103"/>
    </row>
    <row r="34" spans="2:11" ht="14.25" x14ac:dyDescent="0.2">
      <c r="B34" s="115"/>
      <c r="C34" s="83"/>
      <c r="D34" s="83"/>
      <c r="E34" s="83"/>
      <c r="F34" s="84"/>
      <c r="G34" s="87">
        <f>SUM(G24:G33)</f>
        <v>22850</v>
      </c>
      <c r="H34" s="87">
        <f>SUM(H24:H33)</f>
        <v>22465</v>
      </c>
      <c r="I34" s="87">
        <f>SUM(I24:I33)</f>
        <v>11761</v>
      </c>
      <c r="J34" s="213">
        <f>SUM(J24:J33)</f>
        <v>23250</v>
      </c>
      <c r="K34" s="104">
        <f>J34/G34*100</f>
        <v>101.75054704595186</v>
      </c>
    </row>
    <row r="35" spans="2:11" ht="15" x14ac:dyDescent="0.2">
      <c r="B35" s="115"/>
      <c r="C35" s="83"/>
      <c r="D35" s="83"/>
      <c r="E35" s="83"/>
      <c r="F35" s="276" t="s">
        <v>528</v>
      </c>
      <c r="G35" s="277"/>
      <c r="H35" s="277"/>
      <c r="I35" s="278"/>
      <c r="J35" s="279"/>
      <c r="K35" s="103"/>
    </row>
    <row r="36" spans="2:11" ht="25.5" x14ac:dyDescent="0.2">
      <c r="B36" s="116">
        <v>3312</v>
      </c>
      <c r="C36" s="83">
        <v>5213</v>
      </c>
      <c r="D36" s="117">
        <v>213</v>
      </c>
      <c r="E36" s="83"/>
      <c r="F36" s="84" t="s">
        <v>88</v>
      </c>
      <c r="G36" s="85">
        <v>0</v>
      </c>
      <c r="H36" s="85">
        <v>700</v>
      </c>
      <c r="I36" s="85">
        <v>700</v>
      </c>
      <c r="J36" s="85">
        <v>0</v>
      </c>
      <c r="K36" s="103"/>
    </row>
    <row r="37" spans="2:11" ht="24.75" customHeight="1" x14ac:dyDescent="0.2">
      <c r="B37" s="116" t="s">
        <v>521</v>
      </c>
      <c r="C37" s="83">
        <v>5222</v>
      </c>
      <c r="D37" s="117">
        <v>213</v>
      </c>
      <c r="E37" s="83"/>
      <c r="F37" s="84" t="s">
        <v>84</v>
      </c>
      <c r="G37" s="85">
        <v>0</v>
      </c>
      <c r="H37" s="85">
        <v>2450</v>
      </c>
      <c r="I37" s="85">
        <v>2050</v>
      </c>
      <c r="J37" s="85">
        <v>0</v>
      </c>
      <c r="K37" s="103"/>
    </row>
    <row r="38" spans="2:11" ht="25.5" x14ac:dyDescent="0.2">
      <c r="B38" s="121">
        <v>3312</v>
      </c>
      <c r="C38" s="83">
        <v>5223</v>
      </c>
      <c r="D38" s="83">
        <v>213</v>
      </c>
      <c r="E38" s="83"/>
      <c r="F38" s="84" t="s">
        <v>105</v>
      </c>
      <c r="G38" s="85">
        <v>6750</v>
      </c>
      <c r="H38" s="85">
        <v>0</v>
      </c>
      <c r="I38" s="85">
        <v>0</v>
      </c>
      <c r="J38" s="85">
        <v>6750</v>
      </c>
      <c r="K38" s="103">
        <f>J38/G38*100</f>
        <v>100</v>
      </c>
    </row>
    <row r="39" spans="2:11" ht="15" x14ac:dyDescent="0.2">
      <c r="B39" s="116" t="s">
        <v>529</v>
      </c>
      <c r="C39" s="83">
        <v>5321</v>
      </c>
      <c r="D39" s="83">
        <v>213</v>
      </c>
      <c r="E39" s="83"/>
      <c r="F39" s="84" t="s">
        <v>106</v>
      </c>
      <c r="G39" s="85">
        <v>0</v>
      </c>
      <c r="H39" s="85">
        <v>2100</v>
      </c>
      <c r="I39" s="85">
        <v>1700</v>
      </c>
      <c r="J39" s="85">
        <v>0</v>
      </c>
      <c r="K39" s="103"/>
    </row>
    <row r="40" spans="2:11" ht="15" x14ac:dyDescent="0.2">
      <c r="B40" s="121">
        <v>3312</v>
      </c>
      <c r="C40" s="83">
        <v>5321</v>
      </c>
      <c r="D40" s="83">
        <v>213</v>
      </c>
      <c r="E40" s="83"/>
      <c r="F40" s="84" t="s">
        <v>106</v>
      </c>
      <c r="G40" s="85">
        <v>0</v>
      </c>
      <c r="H40" s="85">
        <v>1950</v>
      </c>
      <c r="I40" s="85">
        <v>1550</v>
      </c>
      <c r="J40" s="85">
        <v>0</v>
      </c>
      <c r="K40" s="103"/>
    </row>
    <row r="41" spans="2:11" ht="25.5" x14ac:dyDescent="0.2">
      <c r="B41" s="121">
        <v>3319</v>
      </c>
      <c r="C41" s="83">
        <v>5339</v>
      </c>
      <c r="D41" s="83">
        <v>213</v>
      </c>
      <c r="E41" s="83"/>
      <c r="F41" s="84" t="s">
        <v>85</v>
      </c>
      <c r="G41" s="85">
        <v>0</v>
      </c>
      <c r="H41" s="85">
        <v>1000</v>
      </c>
      <c r="I41" s="85">
        <v>1000</v>
      </c>
      <c r="J41" s="85">
        <v>0</v>
      </c>
      <c r="K41" s="103"/>
    </row>
    <row r="42" spans="2:11" ht="14.25" x14ac:dyDescent="0.2">
      <c r="B42" s="82"/>
      <c r="C42" s="83"/>
      <c r="D42" s="83"/>
      <c r="E42" s="83"/>
      <c r="F42" s="84"/>
      <c r="G42" s="87">
        <f>SUM(G36:G41)</f>
        <v>6750</v>
      </c>
      <c r="H42" s="87">
        <f>SUM(H36:H41)</f>
        <v>8200</v>
      </c>
      <c r="I42" s="87">
        <f>SUM(I36:I41)</f>
        <v>7000</v>
      </c>
      <c r="J42" s="213">
        <f>SUM(J36:J41)</f>
        <v>6750</v>
      </c>
      <c r="K42" s="104">
        <f>J42/G42*100</f>
        <v>100</v>
      </c>
    </row>
    <row r="43" spans="2:11" ht="26.25" thickBot="1" x14ac:dyDescent="0.25">
      <c r="B43" s="82">
        <v>3319</v>
      </c>
      <c r="C43" s="83">
        <v>6359</v>
      </c>
      <c r="D43" s="83">
        <v>16</v>
      </c>
      <c r="E43" s="83">
        <v>30103000000</v>
      </c>
      <c r="F43" s="84" t="s">
        <v>109</v>
      </c>
      <c r="G43" s="85">
        <v>0</v>
      </c>
      <c r="H43" s="85">
        <v>60</v>
      </c>
      <c r="I43" s="85">
        <f>4515/100</f>
        <v>45.15</v>
      </c>
      <c r="J43" s="85">
        <v>0</v>
      </c>
      <c r="K43" s="103"/>
    </row>
    <row r="44" spans="2:11" ht="15.75" thickBot="1" x14ac:dyDescent="0.25">
      <c r="B44" s="18" t="s">
        <v>25</v>
      </c>
      <c r="C44" s="19"/>
      <c r="D44" s="19"/>
      <c r="E44" s="19"/>
      <c r="F44" s="20"/>
      <c r="G44" s="21">
        <f>SUM(G43,G42,G34,G18:G22,G17,G13)</f>
        <v>67700</v>
      </c>
      <c r="H44" s="21">
        <f>SUM(H43,H42,H34,H18:H22,H17,H13)</f>
        <v>68750</v>
      </c>
      <c r="I44" s="21">
        <f>SUM(I43,I42,I34,I18:I22,I17,I13)</f>
        <v>48206.15</v>
      </c>
      <c r="J44" s="21">
        <f>SUM(J43,J42,J34,J18:J22,J17,J13)</f>
        <v>67080.100000000006</v>
      </c>
      <c r="K44" s="106">
        <f>J44/G44*100</f>
        <v>99.084342688330878</v>
      </c>
    </row>
    <row r="45" spans="2:11" x14ac:dyDescent="0.2">
      <c r="F45" s="1"/>
      <c r="G45" s="1"/>
      <c r="H45" s="1"/>
      <c r="I45" s="1"/>
      <c r="J45" s="1"/>
    </row>
    <row r="46" spans="2:11" s="123" customFormat="1" ht="14.25" x14ac:dyDescent="0.2">
      <c r="B46" s="122"/>
      <c r="F46" s="185"/>
      <c r="G46" s="185"/>
      <c r="H46" s="185"/>
      <c r="I46" s="185"/>
      <c r="J46" s="185"/>
      <c r="K46" s="186"/>
    </row>
    <row r="47" spans="2:11" s="123" customFormat="1" ht="14.25" x14ac:dyDescent="0.2">
      <c r="B47" s="122"/>
      <c r="F47" s="185"/>
      <c r="G47" s="185"/>
      <c r="H47" s="185"/>
      <c r="I47" s="185"/>
      <c r="J47" s="185"/>
      <c r="K47" s="186"/>
    </row>
    <row r="48" spans="2:11" s="123" customFormat="1" ht="14.25" x14ac:dyDescent="0.2">
      <c r="B48" s="122"/>
      <c r="F48" s="185"/>
      <c r="G48" s="185"/>
      <c r="H48" s="185"/>
      <c r="I48" s="185"/>
      <c r="J48" s="185"/>
      <c r="K48" s="186"/>
    </row>
    <row r="49" spans="2:11" s="123" customFormat="1" ht="14.25" x14ac:dyDescent="0.2">
      <c r="B49" s="122" t="s">
        <v>516</v>
      </c>
      <c r="F49" s="185"/>
      <c r="G49" s="185"/>
      <c r="H49" s="185"/>
      <c r="I49" s="185"/>
      <c r="J49" s="185"/>
      <c r="K49" s="186"/>
    </row>
    <row r="50" spans="2:11" s="123" customFormat="1" ht="15.75" thickBot="1" x14ac:dyDescent="0.25">
      <c r="B50" s="22" t="s">
        <v>110</v>
      </c>
      <c r="C50" s="22"/>
      <c r="D50" s="22"/>
      <c r="E50" s="22"/>
      <c r="F50" s="23"/>
      <c r="G50" s="23"/>
      <c r="H50" s="24"/>
      <c r="I50" s="24"/>
      <c r="J50" s="24">
        <v>304</v>
      </c>
      <c r="K50" s="108" t="s">
        <v>27</v>
      </c>
    </row>
    <row r="51" spans="2:11" s="123" customFormat="1" ht="24.95" customHeight="1" thickTop="1" x14ac:dyDescent="0.2">
      <c r="B51" s="269" t="s">
        <v>358</v>
      </c>
      <c r="C51" s="270"/>
      <c r="D51" s="270"/>
      <c r="E51" s="270"/>
      <c r="F51" s="270"/>
      <c r="G51" s="270"/>
      <c r="H51" s="270"/>
      <c r="I51" s="270"/>
      <c r="J51" s="270"/>
      <c r="K51" s="270"/>
    </row>
    <row r="52" spans="2:11" s="123" customFormat="1" ht="24.95" customHeight="1" x14ac:dyDescent="0.2">
      <c r="B52" s="211"/>
      <c r="C52" s="125"/>
      <c r="D52" s="125"/>
      <c r="E52" s="125"/>
      <c r="F52" s="125"/>
      <c r="G52" s="125"/>
      <c r="H52" s="125"/>
      <c r="I52" s="125"/>
      <c r="J52" s="125"/>
      <c r="K52" s="125"/>
    </row>
    <row r="53" spans="2:11" s="123" customFormat="1" ht="15.75" thickBot="1" x14ac:dyDescent="0.25">
      <c r="B53" s="22" t="s">
        <v>111</v>
      </c>
      <c r="C53" s="22"/>
      <c r="D53" s="22"/>
      <c r="E53" s="22"/>
      <c r="F53" s="23"/>
      <c r="G53" s="23"/>
      <c r="H53" s="24"/>
      <c r="I53" s="24"/>
      <c r="J53" s="24">
        <v>1392</v>
      </c>
      <c r="K53" s="108" t="s">
        <v>27</v>
      </c>
    </row>
    <row r="54" spans="2:11" s="123" customFormat="1" ht="30.95" customHeight="1" thickTop="1" x14ac:dyDescent="0.2">
      <c r="B54" s="265" t="s">
        <v>440</v>
      </c>
      <c r="C54" s="266"/>
      <c r="D54" s="266"/>
      <c r="E54" s="266"/>
      <c r="F54" s="266"/>
      <c r="G54" s="266"/>
      <c r="H54" s="266"/>
      <c r="I54" s="266"/>
      <c r="J54" s="266"/>
      <c r="K54" s="266"/>
    </row>
    <row r="55" spans="2:11" s="123" customFormat="1" ht="16.5" customHeight="1" x14ac:dyDescent="0.2">
      <c r="B55" s="191"/>
      <c r="C55" s="187"/>
      <c r="D55" s="187"/>
      <c r="E55" s="187"/>
      <c r="F55" s="187"/>
      <c r="G55" s="187"/>
      <c r="H55" s="187"/>
      <c r="I55" s="187"/>
      <c r="J55" s="187"/>
      <c r="K55" s="187"/>
    </row>
    <row r="56" spans="2:11" s="123" customFormat="1" ht="15.75" thickBot="1" x14ac:dyDescent="0.25">
      <c r="B56" s="22" t="s">
        <v>112</v>
      </c>
      <c r="C56" s="22"/>
      <c r="D56" s="22"/>
      <c r="E56" s="22"/>
      <c r="F56" s="23"/>
      <c r="G56" s="23"/>
      <c r="H56" s="24"/>
      <c r="I56" s="24"/>
      <c r="J56" s="24">
        <v>304</v>
      </c>
      <c r="K56" s="108" t="s">
        <v>27</v>
      </c>
    </row>
    <row r="57" spans="2:11" s="123" customFormat="1" ht="96.75" customHeight="1" thickTop="1" x14ac:dyDescent="0.2">
      <c r="B57" s="265" t="s">
        <v>441</v>
      </c>
      <c r="C57" s="266"/>
      <c r="D57" s="266"/>
      <c r="E57" s="266"/>
      <c r="F57" s="266"/>
      <c r="G57" s="266"/>
      <c r="H57" s="266"/>
      <c r="I57" s="266"/>
      <c r="J57" s="266"/>
      <c r="K57" s="266"/>
    </row>
    <row r="58" spans="2:11" s="123" customFormat="1" ht="15.75" customHeight="1" x14ac:dyDescent="0.2">
      <c r="B58" s="122" t="s">
        <v>517</v>
      </c>
      <c r="C58" s="187"/>
      <c r="D58" s="187"/>
      <c r="E58" s="187"/>
      <c r="F58" s="187"/>
      <c r="G58" s="187"/>
      <c r="H58" s="187"/>
      <c r="I58" s="187"/>
      <c r="J58" s="187"/>
      <c r="K58" s="187"/>
    </row>
    <row r="59" spans="2:11" s="123" customFormat="1" ht="15.75" thickBot="1" x14ac:dyDescent="0.25">
      <c r="B59" s="22" t="s">
        <v>113</v>
      </c>
      <c r="C59" s="22"/>
      <c r="D59" s="22"/>
      <c r="E59" s="22"/>
      <c r="F59" s="23"/>
      <c r="G59" s="23"/>
      <c r="H59" s="24"/>
      <c r="I59" s="24"/>
      <c r="J59" s="24">
        <v>9300</v>
      </c>
      <c r="K59" s="108" t="s">
        <v>27</v>
      </c>
    </row>
    <row r="60" spans="2:11" s="123" customFormat="1" ht="68.25" customHeight="1" thickTop="1" x14ac:dyDescent="0.2">
      <c r="B60" s="265" t="s">
        <v>442</v>
      </c>
      <c r="C60" s="266"/>
      <c r="D60" s="266"/>
      <c r="E60" s="266"/>
      <c r="F60" s="266"/>
      <c r="G60" s="266"/>
      <c r="H60" s="266"/>
      <c r="I60" s="266"/>
      <c r="J60" s="266"/>
      <c r="K60" s="266"/>
    </row>
    <row r="61" spans="2:11" s="123" customFormat="1" ht="15.75" thickBot="1" x14ac:dyDescent="0.25">
      <c r="B61" s="22" t="s">
        <v>114</v>
      </c>
      <c r="C61" s="22"/>
      <c r="D61" s="22"/>
      <c r="E61" s="22"/>
      <c r="F61" s="23"/>
      <c r="G61" s="23"/>
      <c r="H61" s="24"/>
      <c r="I61" s="24"/>
      <c r="J61" s="24">
        <v>25000</v>
      </c>
      <c r="K61" s="108" t="s">
        <v>27</v>
      </c>
    </row>
    <row r="62" spans="2:11" s="123" customFormat="1" ht="53.25" customHeight="1" thickTop="1" x14ac:dyDescent="0.2">
      <c r="B62" s="265" t="s">
        <v>443</v>
      </c>
      <c r="C62" s="266"/>
      <c r="D62" s="266"/>
      <c r="E62" s="266"/>
      <c r="F62" s="266"/>
      <c r="G62" s="266"/>
      <c r="H62" s="266"/>
      <c r="I62" s="266"/>
      <c r="J62" s="266"/>
      <c r="K62" s="266"/>
    </row>
    <row r="63" spans="2:11" s="123" customFormat="1" ht="15.75" thickBot="1" x14ac:dyDescent="0.25">
      <c r="B63" s="22" t="s">
        <v>115</v>
      </c>
      <c r="C63" s="22"/>
      <c r="D63" s="22"/>
      <c r="E63" s="22"/>
      <c r="F63" s="23"/>
      <c r="G63" s="23"/>
      <c r="H63" s="24"/>
      <c r="I63" s="24"/>
      <c r="J63" s="24">
        <v>25</v>
      </c>
      <c r="K63" s="108" t="s">
        <v>27</v>
      </c>
    </row>
    <row r="64" spans="2:11" s="123" customFormat="1" ht="38.25" customHeight="1" thickTop="1" x14ac:dyDescent="0.2">
      <c r="B64" s="265" t="s">
        <v>508</v>
      </c>
      <c r="C64" s="266"/>
      <c r="D64" s="266"/>
      <c r="E64" s="266"/>
      <c r="F64" s="266"/>
      <c r="G64" s="266"/>
      <c r="H64" s="266"/>
      <c r="I64" s="266"/>
      <c r="J64" s="266"/>
      <c r="K64" s="266"/>
    </row>
    <row r="65" spans="2:11" s="123" customFormat="1" ht="15.75" thickBot="1" x14ac:dyDescent="0.25">
      <c r="B65" s="22" t="s">
        <v>116</v>
      </c>
      <c r="C65" s="22"/>
      <c r="D65" s="22"/>
      <c r="E65" s="22"/>
      <c r="F65" s="23"/>
      <c r="G65" s="23"/>
      <c r="H65" s="24"/>
      <c r="I65" s="24"/>
      <c r="J65" s="24">
        <v>535</v>
      </c>
      <c r="K65" s="108" t="s">
        <v>27</v>
      </c>
    </row>
    <row r="66" spans="2:11" s="123" customFormat="1" ht="186.75" customHeight="1" thickTop="1" x14ac:dyDescent="0.2">
      <c r="B66" s="265" t="s">
        <v>680</v>
      </c>
      <c r="C66" s="266"/>
      <c r="D66" s="266"/>
      <c r="E66" s="266"/>
      <c r="F66" s="266"/>
      <c r="G66" s="266"/>
      <c r="H66" s="266"/>
      <c r="I66" s="266"/>
      <c r="J66" s="266"/>
      <c r="K66" s="266"/>
    </row>
    <row r="67" spans="2:11" s="123" customFormat="1" ht="15.75" thickBot="1" x14ac:dyDescent="0.25">
      <c r="B67" s="22" t="s">
        <v>116</v>
      </c>
      <c r="C67" s="22"/>
      <c r="D67" s="22"/>
      <c r="E67" s="22"/>
      <c r="F67" s="23"/>
      <c r="G67" s="23"/>
      <c r="H67" s="24"/>
      <c r="I67" s="24"/>
      <c r="J67" s="24">
        <f>8010/100</f>
        <v>80.099999999999994</v>
      </c>
      <c r="K67" s="108" t="s">
        <v>27</v>
      </c>
    </row>
    <row r="68" spans="2:11" s="123" customFormat="1" ht="66.75" customHeight="1" thickTop="1" x14ac:dyDescent="0.2">
      <c r="B68" s="265" t="s">
        <v>444</v>
      </c>
      <c r="C68" s="266"/>
      <c r="D68" s="266"/>
      <c r="E68" s="266"/>
      <c r="F68" s="266"/>
      <c r="G68" s="266"/>
      <c r="H68" s="266"/>
      <c r="I68" s="266"/>
      <c r="J68" s="266"/>
      <c r="K68" s="266"/>
    </row>
    <row r="69" spans="2:11" s="123" customFormat="1" ht="15.75" thickBot="1" x14ac:dyDescent="0.25">
      <c r="B69" s="22" t="s">
        <v>117</v>
      </c>
      <c r="C69" s="22"/>
      <c r="D69" s="22"/>
      <c r="E69" s="22"/>
      <c r="F69" s="23"/>
      <c r="G69" s="23"/>
      <c r="H69" s="24"/>
      <c r="I69" s="24"/>
      <c r="J69" s="24">
        <v>140</v>
      </c>
      <c r="K69" s="108" t="s">
        <v>27</v>
      </c>
    </row>
    <row r="70" spans="2:11" s="123" customFormat="1" ht="40.5" customHeight="1" thickTop="1" x14ac:dyDescent="0.2">
      <c r="B70" s="265" t="s">
        <v>445</v>
      </c>
      <c r="C70" s="266"/>
      <c r="D70" s="266"/>
      <c r="E70" s="266"/>
      <c r="F70" s="266"/>
      <c r="G70" s="266"/>
      <c r="H70" s="266"/>
      <c r="I70" s="266"/>
      <c r="J70" s="266"/>
      <c r="K70" s="266"/>
    </row>
    <row r="71" spans="2:11" s="123" customFormat="1" ht="14.25" customHeight="1" x14ac:dyDescent="0.2">
      <c r="B71" s="298" t="s">
        <v>518</v>
      </c>
      <c r="C71" s="313"/>
      <c r="D71" s="313"/>
      <c r="E71" s="313"/>
      <c r="F71" s="313"/>
      <c r="G71" s="187"/>
      <c r="H71" s="187"/>
      <c r="I71" s="187"/>
      <c r="J71" s="187"/>
      <c r="K71" s="187"/>
    </row>
    <row r="72" spans="2:11" s="123" customFormat="1" ht="15.75" thickBot="1" x14ac:dyDescent="0.25">
      <c r="B72" s="22" t="s">
        <v>118</v>
      </c>
      <c r="C72" s="22"/>
      <c r="D72" s="22"/>
      <c r="E72" s="22"/>
      <c r="F72" s="23"/>
      <c r="G72" s="23"/>
      <c r="H72" s="24"/>
      <c r="I72" s="24"/>
      <c r="J72" s="24">
        <v>23250</v>
      </c>
      <c r="K72" s="108" t="s">
        <v>27</v>
      </c>
    </row>
    <row r="73" spans="2:11" s="123" customFormat="1" ht="57.75" customHeight="1" thickTop="1" x14ac:dyDescent="0.2">
      <c r="B73" s="265" t="s">
        <v>531</v>
      </c>
      <c r="C73" s="266"/>
      <c r="D73" s="266"/>
      <c r="E73" s="266"/>
      <c r="F73" s="266"/>
      <c r="G73" s="266"/>
      <c r="H73" s="266"/>
      <c r="I73" s="266"/>
      <c r="J73" s="266"/>
      <c r="K73" s="266"/>
    </row>
    <row r="74" spans="2:11" s="123" customFormat="1" ht="14.25" x14ac:dyDescent="0.2">
      <c r="B74" s="298" t="s">
        <v>530</v>
      </c>
      <c r="C74" s="313"/>
      <c r="D74" s="313"/>
      <c r="E74" s="313"/>
      <c r="F74" s="313"/>
      <c r="G74" s="314"/>
      <c r="H74" s="314"/>
      <c r="I74" s="187"/>
      <c r="J74" s="187"/>
      <c r="K74" s="187"/>
    </row>
    <row r="75" spans="2:11" s="123" customFormat="1" ht="15.75" thickBot="1" x14ac:dyDescent="0.25">
      <c r="B75" s="22" t="s">
        <v>118</v>
      </c>
      <c r="C75" s="22"/>
      <c r="D75" s="22"/>
      <c r="E75" s="22"/>
      <c r="F75" s="23"/>
      <c r="G75" s="23"/>
      <c r="H75" s="24"/>
      <c r="I75" s="24"/>
      <c r="J75" s="24">
        <v>6750</v>
      </c>
      <c r="K75" s="108" t="s">
        <v>27</v>
      </c>
    </row>
    <row r="76" spans="2:11" s="123" customFormat="1" ht="36" customHeight="1" thickTop="1" x14ac:dyDescent="0.2">
      <c r="B76" s="265" t="s">
        <v>532</v>
      </c>
      <c r="C76" s="266"/>
      <c r="D76" s="266"/>
      <c r="E76" s="266"/>
      <c r="F76" s="266"/>
      <c r="G76" s="266"/>
      <c r="H76" s="266"/>
      <c r="I76" s="266"/>
      <c r="J76" s="266"/>
      <c r="K76" s="266"/>
    </row>
    <row r="77" spans="2:11" s="123" customFormat="1" ht="14.25" x14ac:dyDescent="0.2">
      <c r="K77" s="186"/>
    </row>
    <row r="78" spans="2:11" s="123" customFormat="1" ht="14.25" x14ac:dyDescent="0.2">
      <c r="K78" s="186"/>
    </row>
    <row r="79" spans="2:11" s="123" customFormat="1" ht="14.25" x14ac:dyDescent="0.2">
      <c r="K79" s="186"/>
    </row>
    <row r="80" spans="2:11" s="123" customFormat="1" ht="14.25" x14ac:dyDescent="0.2">
      <c r="K80" s="186"/>
    </row>
    <row r="81" spans="11:11" s="123" customFormat="1" ht="14.25" x14ac:dyDescent="0.2">
      <c r="K81" s="186"/>
    </row>
    <row r="82" spans="11:11" s="123" customFormat="1" ht="14.25" x14ac:dyDescent="0.2">
      <c r="K82" s="186"/>
    </row>
    <row r="83" spans="11:11" s="123" customFormat="1" ht="14.25" x14ac:dyDescent="0.2">
      <c r="K83" s="186"/>
    </row>
    <row r="84" spans="11:11" s="123" customFormat="1" ht="14.25" x14ac:dyDescent="0.2">
      <c r="K84" s="186"/>
    </row>
    <row r="85" spans="11:11" s="123" customFormat="1" ht="14.25" x14ac:dyDescent="0.2">
      <c r="K85" s="186"/>
    </row>
    <row r="86" spans="11:11" s="123" customFormat="1" ht="14.25" x14ac:dyDescent="0.2">
      <c r="K86" s="186"/>
    </row>
    <row r="87" spans="11:11" s="123" customFormat="1" ht="14.25" x14ac:dyDescent="0.2">
      <c r="K87" s="186"/>
    </row>
    <row r="88" spans="11:11" s="123" customFormat="1" ht="14.25" x14ac:dyDescent="0.2">
      <c r="K88" s="186"/>
    </row>
    <row r="89" spans="11:11" s="123" customFormat="1" ht="14.25" x14ac:dyDescent="0.2">
      <c r="K89" s="186"/>
    </row>
    <row r="90" spans="11:11" s="123" customFormat="1" ht="14.25" x14ac:dyDescent="0.2">
      <c r="K90" s="186"/>
    </row>
    <row r="91" spans="11:11" s="123" customFormat="1" ht="14.25" x14ac:dyDescent="0.2">
      <c r="K91" s="186"/>
    </row>
  </sheetData>
  <autoFilter ref="B8:K44"/>
  <mergeCells count="16">
    <mergeCell ref="B76:K76"/>
    <mergeCell ref="B74:H74"/>
    <mergeCell ref="B64:K64"/>
    <mergeCell ref="B66:K66"/>
    <mergeCell ref="B68:K68"/>
    <mergeCell ref="B70:K70"/>
    <mergeCell ref="B73:K73"/>
    <mergeCell ref="F14:H14"/>
    <mergeCell ref="F35:J35"/>
    <mergeCell ref="B71:F71"/>
    <mergeCell ref="B62:K62"/>
    <mergeCell ref="B2:F2"/>
    <mergeCell ref="B51:K51"/>
    <mergeCell ref="B54:K54"/>
    <mergeCell ref="B57:K57"/>
    <mergeCell ref="B60:K60"/>
  </mergeCells>
  <pageMargins left="0.70866141732283472" right="0.70866141732283472" top="0.78740157480314965" bottom="0.78740157480314965" header="0.31496062992125984" footer="0.31496062992125984"/>
  <pageSetup paperSize="9" scale="71" firstPageNumber="66" fitToHeight="9999" orientation="portrait" useFirstPageNumber="1" r:id="rId1"/>
  <headerFooter>
    <oddFooter>&amp;L&amp;"Arial CE,Kurzíva"Zastupitelstvo Olomouckého kraje 16-12-2011
6. - Rozpočet Olomouckého kraje 2012 - návrh rozpočtu 
Příloha č. 3a): Výdaje odborů (kanceláří)&amp;R&amp;"Arial CE,Kurzíva"Strana &amp;P (celkem 167)</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pageSetUpPr fitToPage="1"/>
  </sheetPr>
  <dimension ref="B2:L80"/>
  <sheetViews>
    <sheetView showGridLines="0" view="pageBreakPreview" topLeftCell="A46" zoomScaleNormal="100" zoomScaleSheetLayoutView="100" workbookViewId="0">
      <selection activeCell="F46" sqref="F46"/>
    </sheetView>
  </sheetViews>
  <sheetFormatPr defaultRowHeight="12.75" x14ac:dyDescent="0.2"/>
  <cols>
    <col min="1" max="1" width="0.85546875" customWidth="1"/>
    <col min="2" max="3" width="4.7109375" customWidth="1"/>
    <col min="4" max="4" width="9.7109375" customWidth="1"/>
    <col min="5" max="5" width="11.7109375" customWidth="1"/>
    <col min="6" max="6" width="37.7109375" customWidth="1"/>
    <col min="7" max="10" width="10.7109375" customWidth="1"/>
    <col min="11" max="11" width="7.7109375" style="107" customWidth="1"/>
  </cols>
  <sheetData>
    <row r="2" spans="2:12" ht="29.1" customHeight="1" x14ac:dyDescent="0.2">
      <c r="B2" s="267" t="s">
        <v>78</v>
      </c>
      <c r="C2" s="268"/>
      <c r="D2" s="268"/>
      <c r="E2" s="268"/>
      <c r="F2" s="268"/>
      <c r="G2" s="3"/>
      <c r="H2" s="3"/>
      <c r="I2" s="3"/>
      <c r="J2" s="3"/>
      <c r="K2" s="98" t="s">
        <v>79</v>
      </c>
    </row>
    <row r="5" spans="2:12" s="123" customFormat="1" ht="15" x14ac:dyDescent="0.2">
      <c r="B5" s="188" t="s">
        <v>0</v>
      </c>
      <c r="C5" s="188"/>
      <c r="D5" s="188" t="s">
        <v>80</v>
      </c>
      <c r="E5" s="189"/>
      <c r="F5" s="189"/>
      <c r="G5" s="189"/>
      <c r="H5" s="189"/>
      <c r="I5" s="189"/>
      <c r="J5" s="189"/>
      <c r="K5" s="190"/>
    </row>
    <row r="6" spans="2:12" s="123" customFormat="1" ht="15" x14ac:dyDescent="0.2">
      <c r="B6" s="188"/>
      <c r="C6" s="188"/>
      <c r="D6" s="188" t="s">
        <v>33</v>
      </c>
      <c r="E6" s="189"/>
      <c r="F6" s="189"/>
      <c r="G6" s="189"/>
      <c r="H6" s="189"/>
      <c r="I6" s="189"/>
      <c r="J6" s="189"/>
      <c r="K6" s="190"/>
    </row>
    <row r="7" spans="2:12" ht="13.5" thickBot="1" x14ac:dyDescent="0.25">
      <c r="B7" s="5"/>
      <c r="C7" s="5"/>
      <c r="D7" s="5"/>
      <c r="E7" s="5"/>
      <c r="F7" s="5"/>
      <c r="G7" s="5"/>
      <c r="H7" s="5"/>
      <c r="I7" s="5"/>
      <c r="J7" s="5"/>
      <c r="K7" s="99" t="s">
        <v>3</v>
      </c>
    </row>
    <row r="8" spans="2:12" ht="35.1" customHeight="1" x14ac:dyDescent="0.2">
      <c r="B8" s="7" t="s">
        <v>4</v>
      </c>
      <c r="C8" s="8" t="s">
        <v>5</v>
      </c>
      <c r="D8" s="8" t="s">
        <v>6</v>
      </c>
      <c r="E8" s="8" t="s">
        <v>7</v>
      </c>
      <c r="F8" s="6" t="s">
        <v>8</v>
      </c>
      <c r="G8" s="6" t="s">
        <v>9</v>
      </c>
      <c r="H8" s="6" t="s">
        <v>10</v>
      </c>
      <c r="I8" s="6" t="s">
        <v>11</v>
      </c>
      <c r="J8" s="6" t="s">
        <v>12</v>
      </c>
      <c r="K8" s="100" t="s">
        <v>13</v>
      </c>
    </row>
    <row r="9" spans="2:12" ht="13.5" thickBot="1" x14ac:dyDescent="0.25">
      <c r="B9" s="10">
        <v>1</v>
      </c>
      <c r="C9" s="11">
        <v>2</v>
      </c>
      <c r="D9" s="11">
        <v>3</v>
      </c>
      <c r="E9" s="11">
        <v>4</v>
      </c>
      <c r="F9" s="12">
        <v>5</v>
      </c>
      <c r="G9" s="12">
        <v>6</v>
      </c>
      <c r="H9" s="12">
        <v>7</v>
      </c>
      <c r="I9" s="12">
        <v>8</v>
      </c>
      <c r="J9" s="12">
        <v>9</v>
      </c>
      <c r="K9" s="101" t="s">
        <v>14</v>
      </c>
    </row>
    <row r="10" spans="2:12" x14ac:dyDescent="0.2">
      <c r="B10" s="79"/>
      <c r="C10" s="80"/>
      <c r="D10" s="80"/>
      <c r="E10" s="80"/>
      <c r="F10" s="86" t="s">
        <v>509</v>
      </c>
      <c r="G10" s="81"/>
      <c r="H10" s="81"/>
      <c r="I10" s="81"/>
      <c r="J10" s="81"/>
      <c r="K10" s="102"/>
    </row>
    <row r="11" spans="2:12" ht="15" x14ac:dyDescent="0.2">
      <c r="B11" s="82">
        <v>3513</v>
      </c>
      <c r="C11" s="83">
        <v>5169</v>
      </c>
      <c r="D11" s="83">
        <v>252</v>
      </c>
      <c r="E11" s="83">
        <v>20000000000</v>
      </c>
      <c r="F11" s="84" t="s">
        <v>15</v>
      </c>
      <c r="G11" s="85">
        <v>3000</v>
      </c>
      <c r="H11" s="85">
        <v>3000</v>
      </c>
      <c r="I11" s="85">
        <v>1550</v>
      </c>
      <c r="J11" s="85">
        <v>3000</v>
      </c>
      <c r="K11" s="103">
        <f>J11/G11*100</f>
        <v>100</v>
      </c>
      <c r="L11" s="123"/>
    </row>
    <row r="12" spans="2:12" ht="15" x14ac:dyDescent="0.2">
      <c r="B12" s="82">
        <v>3513</v>
      </c>
      <c r="C12" s="83">
        <v>5169</v>
      </c>
      <c r="D12" s="83">
        <v>252</v>
      </c>
      <c r="E12" s="83">
        <v>20000003010</v>
      </c>
      <c r="F12" s="84" t="s">
        <v>15</v>
      </c>
      <c r="G12" s="85">
        <v>340</v>
      </c>
      <c r="H12" s="85">
        <v>340</v>
      </c>
      <c r="I12" s="85">
        <f>22062/100</f>
        <v>220.62</v>
      </c>
      <c r="J12" s="85">
        <v>333</v>
      </c>
      <c r="K12" s="103">
        <f t="shared" ref="K12:K43" si="0">J12/G12*100</f>
        <v>97.941176470588232</v>
      </c>
      <c r="L12" s="123"/>
    </row>
    <row r="13" spans="2:12" ht="15" x14ac:dyDescent="0.2">
      <c r="B13" s="82">
        <v>3513</v>
      </c>
      <c r="C13" s="83">
        <v>5169</v>
      </c>
      <c r="D13" s="83">
        <v>252</v>
      </c>
      <c r="E13" s="83">
        <v>20000003014</v>
      </c>
      <c r="F13" s="84" t="s">
        <v>15</v>
      </c>
      <c r="G13" s="85">
        <v>6264</v>
      </c>
      <c r="H13" s="85">
        <v>6264</v>
      </c>
      <c r="I13" s="85">
        <v>4698</v>
      </c>
      <c r="J13" s="85">
        <v>6264</v>
      </c>
      <c r="K13" s="103">
        <f t="shared" si="0"/>
        <v>100</v>
      </c>
      <c r="L13" s="123"/>
    </row>
    <row r="14" spans="2:12" ht="15" x14ac:dyDescent="0.2">
      <c r="B14" s="82">
        <v>3513</v>
      </c>
      <c r="C14" s="83">
        <v>5169</v>
      </c>
      <c r="D14" s="83">
        <v>256</v>
      </c>
      <c r="E14" s="83">
        <v>20000000000</v>
      </c>
      <c r="F14" s="84" t="s">
        <v>15</v>
      </c>
      <c r="G14" s="85">
        <v>340</v>
      </c>
      <c r="H14" s="85">
        <v>340</v>
      </c>
      <c r="I14" s="85">
        <f>23420/100</f>
        <v>234.2</v>
      </c>
      <c r="J14" s="85">
        <v>332</v>
      </c>
      <c r="K14" s="103">
        <f t="shared" si="0"/>
        <v>97.647058823529406</v>
      </c>
      <c r="L14" s="123"/>
    </row>
    <row r="15" spans="2:12" ht="14.25" x14ac:dyDescent="0.2">
      <c r="B15" s="82"/>
      <c r="C15" s="83"/>
      <c r="D15" s="83"/>
      <c r="E15" s="83"/>
      <c r="F15" s="84"/>
      <c r="G15" s="87">
        <f>SUM(G11:G14)</f>
        <v>9944</v>
      </c>
      <c r="H15" s="87">
        <f>SUM(H11:H14)</f>
        <v>9944</v>
      </c>
      <c r="I15" s="87">
        <f>SUM(I11:I14)</f>
        <v>6702.82</v>
      </c>
      <c r="J15" s="87">
        <f>SUM(J11:J14)</f>
        <v>9929</v>
      </c>
      <c r="K15" s="104">
        <f t="shared" si="0"/>
        <v>99.849155269509254</v>
      </c>
      <c r="L15" s="123"/>
    </row>
    <row r="16" spans="2:12" ht="15" x14ac:dyDescent="0.2">
      <c r="B16" s="82">
        <v>3522</v>
      </c>
      <c r="C16" s="83">
        <v>5169</v>
      </c>
      <c r="D16" s="83">
        <v>0</v>
      </c>
      <c r="E16" s="83">
        <v>20000000000</v>
      </c>
      <c r="F16" s="97" t="s">
        <v>15</v>
      </c>
      <c r="G16" s="85">
        <v>0</v>
      </c>
      <c r="H16" s="85">
        <f>4550/100</f>
        <v>45.5</v>
      </c>
      <c r="I16" s="85">
        <f>4550/100</f>
        <v>45.5</v>
      </c>
      <c r="J16" s="85">
        <v>0</v>
      </c>
      <c r="K16" s="103"/>
      <c r="L16" s="123"/>
    </row>
    <row r="17" spans="2:12" ht="15" x14ac:dyDescent="0.2">
      <c r="B17" s="82"/>
      <c r="C17" s="83"/>
      <c r="D17" s="83"/>
      <c r="E17" s="83"/>
      <c r="F17" s="96" t="s">
        <v>510</v>
      </c>
      <c r="G17" s="85"/>
      <c r="H17" s="85"/>
      <c r="I17" s="85"/>
      <c r="J17" s="85"/>
      <c r="K17" s="103"/>
      <c r="L17" s="123"/>
    </row>
    <row r="18" spans="2:12" ht="15" x14ac:dyDescent="0.2">
      <c r="B18" s="82">
        <v>3522</v>
      </c>
      <c r="C18" s="83">
        <v>5169</v>
      </c>
      <c r="D18" s="83">
        <v>253</v>
      </c>
      <c r="E18" s="83">
        <v>20000003011</v>
      </c>
      <c r="F18" s="84" t="s">
        <v>15</v>
      </c>
      <c r="G18" s="85">
        <v>6099</v>
      </c>
      <c r="H18" s="85">
        <v>6099</v>
      </c>
      <c r="I18" s="85">
        <v>4066</v>
      </c>
      <c r="J18" s="85">
        <v>6099</v>
      </c>
      <c r="K18" s="103">
        <f t="shared" si="0"/>
        <v>100</v>
      </c>
      <c r="L18" s="123"/>
    </row>
    <row r="19" spans="2:12" ht="14.25" x14ac:dyDescent="0.2">
      <c r="B19" s="82"/>
      <c r="C19" s="83"/>
      <c r="D19" s="83"/>
      <c r="E19" s="83"/>
      <c r="F19" s="84"/>
      <c r="G19" s="87">
        <f>SUM(G18)</f>
        <v>6099</v>
      </c>
      <c r="H19" s="87">
        <f>SUM(H18)</f>
        <v>6099</v>
      </c>
      <c r="I19" s="87">
        <f>SUM(I18)</f>
        <v>4066</v>
      </c>
      <c r="J19" s="87">
        <f>SUM(J18)</f>
        <v>6099</v>
      </c>
      <c r="K19" s="104">
        <f t="shared" si="0"/>
        <v>100</v>
      </c>
      <c r="L19" s="123"/>
    </row>
    <row r="20" spans="2:12" ht="15" x14ac:dyDescent="0.2">
      <c r="B20" s="82">
        <v>3522</v>
      </c>
      <c r="C20" s="83">
        <v>6202</v>
      </c>
      <c r="D20" s="83">
        <v>0</v>
      </c>
      <c r="E20" s="83">
        <v>60005003006</v>
      </c>
      <c r="F20" s="84" t="s">
        <v>81</v>
      </c>
      <c r="G20" s="85">
        <v>7000</v>
      </c>
      <c r="H20" s="85">
        <v>7000</v>
      </c>
      <c r="I20" s="85">
        <v>7000</v>
      </c>
      <c r="J20" s="85">
        <v>6000</v>
      </c>
      <c r="K20" s="103">
        <f t="shared" si="0"/>
        <v>85.714285714285708</v>
      </c>
      <c r="L20" s="123"/>
    </row>
    <row r="21" spans="2:12" ht="15" x14ac:dyDescent="0.2">
      <c r="B21" s="82">
        <v>3532</v>
      </c>
      <c r="C21" s="83">
        <v>5169</v>
      </c>
      <c r="D21" s="83">
        <v>0</v>
      </c>
      <c r="E21" s="83">
        <v>20000000000</v>
      </c>
      <c r="F21" s="84" t="s">
        <v>15</v>
      </c>
      <c r="G21" s="85">
        <v>30</v>
      </c>
      <c r="H21" s="85">
        <v>30</v>
      </c>
      <c r="I21" s="85">
        <v>10</v>
      </c>
      <c r="J21" s="85">
        <v>15</v>
      </c>
      <c r="K21" s="103">
        <f t="shared" si="0"/>
        <v>50</v>
      </c>
      <c r="L21" s="123"/>
    </row>
    <row r="22" spans="2:12" ht="15" x14ac:dyDescent="0.2">
      <c r="B22" s="82"/>
      <c r="C22" s="83"/>
      <c r="D22" s="83"/>
      <c r="E22" s="83"/>
      <c r="F22" s="96" t="s">
        <v>511</v>
      </c>
      <c r="G22" s="85"/>
      <c r="H22" s="85"/>
      <c r="I22" s="85"/>
      <c r="J22" s="85"/>
      <c r="K22" s="103"/>
      <c r="L22" s="123"/>
    </row>
    <row r="23" spans="2:12" ht="25.5" x14ac:dyDescent="0.2">
      <c r="B23" s="82">
        <v>3541</v>
      </c>
      <c r="C23" s="83">
        <v>5221</v>
      </c>
      <c r="D23" s="83">
        <v>254</v>
      </c>
      <c r="E23" s="83">
        <v>30101000000</v>
      </c>
      <c r="F23" s="84" t="s">
        <v>83</v>
      </c>
      <c r="G23" s="85">
        <v>270</v>
      </c>
      <c r="H23" s="85">
        <v>250</v>
      </c>
      <c r="I23" s="85">
        <v>250</v>
      </c>
      <c r="J23" s="85">
        <v>250</v>
      </c>
      <c r="K23" s="103">
        <f t="shared" si="0"/>
        <v>92.592592592592595</v>
      </c>
      <c r="L23" s="123"/>
    </row>
    <row r="24" spans="2:12" ht="25.5" x14ac:dyDescent="0.2">
      <c r="B24" s="82">
        <v>3541</v>
      </c>
      <c r="C24" s="83">
        <v>5222</v>
      </c>
      <c r="D24" s="83">
        <v>254</v>
      </c>
      <c r="E24" s="83">
        <v>30101000000</v>
      </c>
      <c r="F24" s="84" t="s">
        <v>84</v>
      </c>
      <c r="G24" s="85">
        <v>1980</v>
      </c>
      <c r="H24" s="85">
        <v>2250</v>
      </c>
      <c r="I24" s="85">
        <v>2250</v>
      </c>
      <c r="J24" s="85">
        <v>2250</v>
      </c>
      <c r="K24" s="103">
        <f t="shared" si="0"/>
        <v>113.63636363636364</v>
      </c>
      <c r="L24" s="123"/>
    </row>
    <row r="25" spans="2:12" ht="14.25" x14ac:dyDescent="0.2">
      <c r="B25" s="82"/>
      <c r="C25" s="83"/>
      <c r="D25" s="83"/>
      <c r="E25" s="83"/>
      <c r="F25" s="84"/>
      <c r="G25" s="87">
        <f>SUM(G23:G24)</f>
        <v>2250</v>
      </c>
      <c r="H25" s="87">
        <f>SUM(H23:H24)</f>
        <v>2500</v>
      </c>
      <c r="I25" s="87">
        <f>SUM(I23:I24)</f>
        <v>2500</v>
      </c>
      <c r="J25" s="87">
        <f>SUM(J23:J24)</f>
        <v>2500</v>
      </c>
      <c r="K25" s="104">
        <f t="shared" si="0"/>
        <v>111.11111111111111</v>
      </c>
      <c r="L25" s="123"/>
    </row>
    <row r="26" spans="2:12" ht="15" x14ac:dyDescent="0.2">
      <c r="B26" s="82"/>
      <c r="C26" s="83"/>
      <c r="D26" s="83"/>
      <c r="E26" s="83"/>
      <c r="F26" s="96" t="s">
        <v>512</v>
      </c>
      <c r="G26" s="87"/>
      <c r="H26" s="87"/>
      <c r="I26" s="87"/>
      <c r="J26" s="87"/>
      <c r="K26" s="103"/>
      <c r="L26" s="123"/>
    </row>
    <row r="27" spans="2:12" ht="15" x14ac:dyDescent="0.2">
      <c r="B27" s="82">
        <v>3544</v>
      </c>
      <c r="C27" s="83">
        <v>5169</v>
      </c>
      <c r="D27" s="83">
        <v>255</v>
      </c>
      <c r="E27" s="83">
        <v>20000000000</v>
      </c>
      <c r="F27" s="84" t="s">
        <v>15</v>
      </c>
      <c r="G27" s="85">
        <v>0</v>
      </c>
      <c r="H27" s="85">
        <v>100</v>
      </c>
      <c r="I27" s="85">
        <v>0</v>
      </c>
      <c r="J27" s="85">
        <v>0</v>
      </c>
      <c r="K27" s="103"/>
      <c r="L27" s="123"/>
    </row>
    <row r="28" spans="2:12" ht="15" x14ac:dyDescent="0.2">
      <c r="B28" s="82">
        <v>3544</v>
      </c>
      <c r="C28" s="83">
        <v>5169</v>
      </c>
      <c r="D28" s="83">
        <v>255</v>
      </c>
      <c r="E28" s="83">
        <v>30100000000</v>
      </c>
      <c r="F28" s="84" t="s">
        <v>15</v>
      </c>
      <c r="G28" s="85">
        <v>0</v>
      </c>
      <c r="H28" s="85">
        <v>0</v>
      </c>
      <c r="I28" s="85">
        <v>0</v>
      </c>
      <c r="J28" s="85">
        <v>100</v>
      </c>
      <c r="K28" s="103"/>
      <c r="L28" s="123"/>
    </row>
    <row r="29" spans="2:12" ht="25.5" x14ac:dyDescent="0.2">
      <c r="B29" s="82">
        <v>3544</v>
      </c>
      <c r="C29" s="83">
        <v>5339</v>
      </c>
      <c r="D29" s="83">
        <v>255</v>
      </c>
      <c r="E29" s="83">
        <v>30100000000</v>
      </c>
      <c r="F29" s="84" t="s">
        <v>85</v>
      </c>
      <c r="G29" s="85">
        <v>100</v>
      </c>
      <c r="H29" s="85">
        <v>0</v>
      </c>
      <c r="I29" s="85">
        <v>0</v>
      </c>
      <c r="J29" s="85">
        <v>0</v>
      </c>
      <c r="K29" s="103">
        <f t="shared" si="0"/>
        <v>0</v>
      </c>
      <c r="L29" s="123"/>
    </row>
    <row r="30" spans="2:12" ht="14.25" x14ac:dyDescent="0.2">
      <c r="B30" s="82"/>
      <c r="C30" s="83"/>
      <c r="D30" s="83"/>
      <c r="E30" s="83"/>
      <c r="F30" s="84"/>
      <c r="G30" s="87">
        <f>SUM(G27:G29)</f>
        <v>100</v>
      </c>
      <c r="H30" s="87">
        <f>SUM(H27:H29)</f>
        <v>100</v>
      </c>
      <c r="I30" s="87">
        <f>SUM(I27:I29)</f>
        <v>0</v>
      </c>
      <c r="J30" s="87">
        <f>SUM(J27:J29)</f>
        <v>100</v>
      </c>
      <c r="K30" s="104">
        <f t="shared" si="0"/>
        <v>100</v>
      </c>
      <c r="L30" s="123"/>
    </row>
    <row r="31" spans="2:12" ht="14.25" x14ac:dyDescent="0.2">
      <c r="B31" s="82"/>
      <c r="C31" s="83"/>
      <c r="D31" s="83"/>
      <c r="E31" s="83"/>
      <c r="F31" s="96" t="s">
        <v>513</v>
      </c>
      <c r="G31" s="87"/>
      <c r="H31" s="87"/>
      <c r="I31" s="87"/>
      <c r="J31" s="87"/>
      <c r="K31" s="104"/>
      <c r="L31" s="123"/>
    </row>
    <row r="32" spans="2:12" ht="25.5" x14ac:dyDescent="0.2">
      <c r="B32" s="82">
        <v>3592</v>
      </c>
      <c r="C32" s="83">
        <v>5212</v>
      </c>
      <c r="D32" s="83">
        <v>0</v>
      </c>
      <c r="E32" s="83">
        <v>30102000000</v>
      </c>
      <c r="F32" s="84" t="s">
        <v>87</v>
      </c>
      <c r="G32" s="85">
        <v>1300</v>
      </c>
      <c r="H32" s="85">
        <v>0</v>
      </c>
      <c r="I32" s="85">
        <v>0</v>
      </c>
      <c r="J32" s="85">
        <v>0</v>
      </c>
      <c r="K32" s="103">
        <f t="shared" si="0"/>
        <v>0</v>
      </c>
      <c r="L32" s="123"/>
    </row>
    <row r="33" spans="2:12" ht="25.5" x14ac:dyDescent="0.2">
      <c r="B33" s="82">
        <v>3592</v>
      </c>
      <c r="C33" s="83">
        <v>5212</v>
      </c>
      <c r="D33" s="83">
        <v>258</v>
      </c>
      <c r="E33" s="83">
        <v>30102000000</v>
      </c>
      <c r="F33" s="84" t="s">
        <v>87</v>
      </c>
      <c r="G33" s="85">
        <v>0</v>
      </c>
      <c r="H33" s="85">
        <v>1000</v>
      </c>
      <c r="I33" s="85">
        <v>595</v>
      </c>
      <c r="J33" s="85">
        <v>700</v>
      </c>
      <c r="K33" s="103"/>
      <c r="L33" s="123"/>
    </row>
    <row r="34" spans="2:12" ht="25.5" x14ac:dyDescent="0.2">
      <c r="B34" s="82">
        <v>3592</v>
      </c>
      <c r="C34" s="83">
        <v>5213</v>
      </c>
      <c r="D34" s="83">
        <v>0</v>
      </c>
      <c r="E34" s="83">
        <v>30102000000</v>
      </c>
      <c r="F34" s="84" t="s">
        <v>88</v>
      </c>
      <c r="G34" s="85">
        <v>2300</v>
      </c>
      <c r="H34" s="85">
        <v>0</v>
      </c>
      <c r="I34" s="85">
        <v>0</v>
      </c>
      <c r="J34" s="85">
        <v>0</v>
      </c>
      <c r="K34" s="103">
        <f t="shared" si="0"/>
        <v>0</v>
      </c>
      <c r="L34" s="123"/>
    </row>
    <row r="35" spans="2:12" ht="25.5" x14ac:dyDescent="0.2">
      <c r="B35" s="82">
        <v>3592</v>
      </c>
      <c r="C35" s="83">
        <v>5213</v>
      </c>
      <c r="D35" s="83">
        <v>258</v>
      </c>
      <c r="E35" s="83">
        <v>30102000000</v>
      </c>
      <c r="F35" s="84" t="s">
        <v>88</v>
      </c>
      <c r="G35" s="85">
        <v>0</v>
      </c>
      <c r="H35" s="85">
        <v>1440</v>
      </c>
      <c r="I35" s="85">
        <v>535</v>
      </c>
      <c r="J35" s="85">
        <v>1300</v>
      </c>
      <c r="K35" s="103"/>
      <c r="L35" s="123"/>
    </row>
    <row r="36" spans="2:12" ht="14.25" x14ac:dyDescent="0.2">
      <c r="B36" s="82"/>
      <c r="C36" s="83"/>
      <c r="D36" s="83"/>
      <c r="E36" s="83"/>
      <c r="F36" s="84"/>
      <c r="G36" s="87">
        <f>SUM(G32:G35)</f>
        <v>3600</v>
      </c>
      <c r="H36" s="87">
        <f>SUM(H32:H35)</f>
        <v>2440</v>
      </c>
      <c r="I36" s="87">
        <f>SUM(I32:I35)</f>
        <v>1130</v>
      </c>
      <c r="J36" s="87">
        <f>SUM(J32:J35)</f>
        <v>2000</v>
      </c>
      <c r="K36" s="104">
        <f t="shared" si="0"/>
        <v>55.555555555555557</v>
      </c>
      <c r="L36" s="123"/>
    </row>
    <row r="37" spans="2:12" ht="25.5" x14ac:dyDescent="0.2">
      <c r="B37" s="82">
        <v>3599</v>
      </c>
      <c r="C37" s="83">
        <v>5166</v>
      </c>
      <c r="D37" s="83">
        <v>0</v>
      </c>
      <c r="E37" s="83">
        <v>20000000000</v>
      </c>
      <c r="F37" s="84" t="s">
        <v>42</v>
      </c>
      <c r="G37" s="85">
        <v>50</v>
      </c>
      <c r="H37" s="85">
        <v>20</v>
      </c>
      <c r="I37" s="85">
        <f>450/100</f>
        <v>4.5</v>
      </c>
      <c r="J37" s="85">
        <v>50</v>
      </c>
      <c r="K37" s="103">
        <f t="shared" si="0"/>
        <v>100</v>
      </c>
      <c r="L37" s="123"/>
    </row>
    <row r="38" spans="2:12" ht="15" x14ac:dyDescent="0.2">
      <c r="B38" s="82">
        <v>3599</v>
      </c>
      <c r="C38" s="83">
        <v>5169</v>
      </c>
      <c r="D38" s="83">
        <v>98297</v>
      </c>
      <c r="E38" s="83">
        <v>20000000000</v>
      </c>
      <c r="F38" s="84" t="s">
        <v>15</v>
      </c>
      <c r="G38" s="85">
        <v>100</v>
      </c>
      <c r="H38" s="85">
        <f>32358/100</f>
        <v>323.58</v>
      </c>
      <c r="I38" s="85">
        <f>24715/100</f>
        <v>247.15</v>
      </c>
      <c r="J38" s="85">
        <v>100</v>
      </c>
      <c r="K38" s="103">
        <f t="shared" si="0"/>
        <v>100</v>
      </c>
      <c r="L38" s="123"/>
    </row>
    <row r="39" spans="2:12" ht="15" x14ac:dyDescent="0.2">
      <c r="B39" s="82">
        <v>3599</v>
      </c>
      <c r="C39" s="83">
        <v>5169</v>
      </c>
      <c r="D39" s="83">
        <v>98335</v>
      </c>
      <c r="E39" s="83">
        <v>20000000000</v>
      </c>
      <c r="F39" s="84" t="s">
        <v>15</v>
      </c>
      <c r="G39" s="85">
        <v>500</v>
      </c>
      <c r="H39" s="85">
        <f>186730/100</f>
        <v>1867.3</v>
      </c>
      <c r="I39" s="85">
        <f>136730/100</f>
        <v>1367.3</v>
      </c>
      <c r="J39" s="85">
        <v>500</v>
      </c>
      <c r="K39" s="103">
        <f t="shared" si="0"/>
        <v>100</v>
      </c>
      <c r="L39" s="123"/>
    </row>
    <row r="40" spans="2:12" ht="15" x14ac:dyDescent="0.2">
      <c r="B40" s="82">
        <v>3599</v>
      </c>
      <c r="C40" s="83">
        <v>5492</v>
      </c>
      <c r="D40" s="83">
        <v>257</v>
      </c>
      <c r="E40" s="83">
        <v>30102000000</v>
      </c>
      <c r="F40" s="84" t="s">
        <v>89</v>
      </c>
      <c r="G40" s="85">
        <v>15</v>
      </c>
      <c r="H40" s="85">
        <v>20</v>
      </c>
      <c r="I40" s="85">
        <f>1926/100</f>
        <v>19.260000000000002</v>
      </c>
      <c r="J40" s="85">
        <v>0</v>
      </c>
      <c r="K40" s="103">
        <f t="shared" si="0"/>
        <v>0</v>
      </c>
      <c r="L40" s="123"/>
    </row>
    <row r="41" spans="2:12" ht="15" x14ac:dyDescent="0.2">
      <c r="B41" s="82">
        <v>6172</v>
      </c>
      <c r="C41" s="83">
        <v>5161</v>
      </c>
      <c r="D41" s="83">
        <v>0</v>
      </c>
      <c r="E41" s="83">
        <v>20000000000</v>
      </c>
      <c r="F41" s="84" t="s">
        <v>90</v>
      </c>
      <c r="G41" s="85">
        <v>10</v>
      </c>
      <c r="H41" s="85">
        <v>10</v>
      </c>
      <c r="I41" s="85">
        <v>0</v>
      </c>
      <c r="J41" s="85">
        <v>0</v>
      </c>
      <c r="K41" s="103">
        <f t="shared" si="0"/>
        <v>0</v>
      </c>
      <c r="L41" s="123"/>
    </row>
    <row r="42" spans="2:12" ht="15.75" thickBot="1" x14ac:dyDescent="0.25">
      <c r="B42" s="92">
        <v>6172</v>
      </c>
      <c r="C42" s="93">
        <v>5169</v>
      </c>
      <c r="D42" s="93">
        <v>0</v>
      </c>
      <c r="E42" s="93">
        <v>20000000000</v>
      </c>
      <c r="F42" s="94" t="s">
        <v>15</v>
      </c>
      <c r="G42" s="95">
        <v>50</v>
      </c>
      <c r="H42" s="95">
        <v>20</v>
      </c>
      <c r="I42" s="95">
        <v>0</v>
      </c>
      <c r="J42" s="85">
        <v>15</v>
      </c>
      <c r="K42" s="103">
        <f t="shared" si="0"/>
        <v>30</v>
      </c>
      <c r="L42" s="123"/>
    </row>
    <row r="43" spans="2:12" ht="15.75" thickBot="1" x14ac:dyDescent="0.25">
      <c r="B43" s="18" t="s">
        <v>25</v>
      </c>
      <c r="C43" s="19"/>
      <c r="D43" s="19"/>
      <c r="E43" s="19"/>
      <c r="F43" s="20"/>
      <c r="G43" s="21">
        <f>SUM(G15,G16,G19,G20,G21,G25,G30,G36,G37:G42)</f>
        <v>29748</v>
      </c>
      <c r="H43" s="21">
        <f>SUM(H15,H16,H19,H20,H21,H25,H30,H36,H37:H42)</f>
        <v>30419.38</v>
      </c>
      <c r="I43" s="21">
        <f>SUM(I15,I16,I19,I20,I21,I25,I30,I36,I37:I42)</f>
        <v>23092.53</v>
      </c>
      <c r="J43" s="21">
        <f>SUM(J15,J16,J19,J20,J21,J25,J30,J36,J37:J42)</f>
        <v>27308</v>
      </c>
      <c r="K43" s="106">
        <f t="shared" si="0"/>
        <v>91.797767917170901</v>
      </c>
      <c r="L43" s="123"/>
    </row>
    <row r="44" spans="2:12" ht="14.25" x14ac:dyDescent="0.2">
      <c r="F44" s="1"/>
      <c r="G44" s="185"/>
      <c r="H44" s="185"/>
      <c r="I44" s="185"/>
      <c r="J44" s="185"/>
      <c r="K44" s="186"/>
      <c r="L44" s="123"/>
    </row>
    <row r="45" spans="2:12" s="123" customFormat="1" ht="14.25" x14ac:dyDescent="0.2">
      <c r="B45" s="122"/>
      <c r="F45" s="185"/>
      <c r="G45" s="185"/>
      <c r="H45" s="185"/>
      <c r="I45" s="185"/>
      <c r="J45" s="185"/>
      <c r="K45" s="186"/>
    </row>
    <row r="46" spans="2:12" s="123" customFormat="1" ht="14.25" x14ac:dyDescent="0.2">
      <c r="F46" s="185"/>
      <c r="G46" s="185"/>
      <c r="H46" s="185"/>
      <c r="I46" s="185"/>
      <c r="J46" s="185"/>
      <c r="K46" s="186"/>
    </row>
    <row r="47" spans="2:12" s="123" customFormat="1" ht="14.25" x14ac:dyDescent="0.2">
      <c r="B47" s="124" t="s">
        <v>509</v>
      </c>
      <c r="F47" s="185"/>
      <c r="G47" s="185"/>
      <c r="H47" s="185"/>
      <c r="I47" s="185"/>
      <c r="J47" s="185"/>
      <c r="K47" s="186"/>
    </row>
    <row r="48" spans="2:12" s="123" customFormat="1" ht="15.75" thickBot="1" x14ac:dyDescent="0.25">
      <c r="B48" s="22" t="s">
        <v>91</v>
      </c>
      <c r="C48" s="22"/>
      <c r="D48" s="22"/>
      <c r="E48" s="22"/>
      <c r="F48" s="23"/>
      <c r="G48" s="23"/>
      <c r="H48" s="24"/>
      <c r="I48" s="24"/>
      <c r="J48" s="24">
        <v>9597</v>
      </c>
      <c r="K48" s="108" t="s">
        <v>27</v>
      </c>
    </row>
    <row r="49" spans="2:11" s="123" customFormat="1" ht="51.75" customHeight="1" thickTop="1" x14ac:dyDescent="0.2">
      <c r="B49" s="269" t="s">
        <v>446</v>
      </c>
      <c r="C49" s="270"/>
      <c r="D49" s="270"/>
      <c r="E49" s="270"/>
      <c r="F49" s="270"/>
      <c r="G49" s="270"/>
      <c r="H49" s="270"/>
      <c r="I49" s="270"/>
      <c r="J49" s="270"/>
      <c r="K49" s="270"/>
    </row>
    <row r="50" spans="2:11" s="123" customFormat="1" ht="15.75" thickBot="1" x14ac:dyDescent="0.25">
      <c r="B50" s="22" t="s">
        <v>91</v>
      </c>
      <c r="C50" s="22"/>
      <c r="D50" s="22"/>
      <c r="E50" s="22"/>
      <c r="F50" s="23"/>
      <c r="G50" s="23"/>
      <c r="H50" s="24"/>
      <c r="I50" s="24"/>
      <c r="J50" s="24">
        <v>332</v>
      </c>
      <c r="K50" s="108" t="s">
        <v>27</v>
      </c>
    </row>
    <row r="51" spans="2:11" s="123" customFormat="1" ht="21" customHeight="1" thickTop="1" x14ac:dyDescent="0.2">
      <c r="B51" s="269" t="s">
        <v>350</v>
      </c>
      <c r="C51" s="270"/>
      <c r="D51" s="270"/>
      <c r="E51" s="270"/>
      <c r="F51" s="270"/>
      <c r="G51" s="270"/>
      <c r="H51" s="270"/>
      <c r="I51" s="270"/>
      <c r="J51" s="270"/>
      <c r="K51" s="270"/>
    </row>
    <row r="52" spans="2:11" s="123" customFormat="1" ht="17.100000000000001" customHeight="1" x14ac:dyDescent="0.2">
      <c r="B52" s="124" t="s">
        <v>510</v>
      </c>
      <c r="C52" s="125"/>
      <c r="D52" s="125"/>
      <c r="E52" s="125"/>
      <c r="F52" s="125"/>
      <c r="G52" s="125"/>
      <c r="H52" s="125"/>
      <c r="I52" s="125"/>
      <c r="J52" s="125"/>
      <c r="K52" s="125"/>
    </row>
    <row r="53" spans="2:11" s="123" customFormat="1" ht="15.75" thickBot="1" x14ac:dyDescent="0.25">
      <c r="B53" s="22" t="s">
        <v>92</v>
      </c>
      <c r="C53" s="22"/>
      <c r="D53" s="22"/>
      <c r="E53" s="22"/>
      <c r="F53" s="23"/>
      <c r="G53" s="23"/>
      <c r="H53" s="24"/>
      <c r="I53" s="24"/>
      <c r="J53" s="24">
        <v>6099</v>
      </c>
      <c r="K53" s="108" t="s">
        <v>27</v>
      </c>
    </row>
    <row r="54" spans="2:11" s="123" customFormat="1" ht="23.25" customHeight="1" thickTop="1" x14ac:dyDescent="0.2">
      <c r="B54" s="269" t="s">
        <v>351</v>
      </c>
      <c r="C54" s="270"/>
      <c r="D54" s="270"/>
      <c r="E54" s="270"/>
      <c r="F54" s="270"/>
      <c r="G54" s="270"/>
      <c r="H54" s="270"/>
      <c r="I54" s="270"/>
      <c r="J54" s="270"/>
      <c r="K54" s="270"/>
    </row>
    <row r="55" spans="2:11" s="123" customFormat="1" ht="23.25" customHeight="1" x14ac:dyDescent="0.2">
      <c r="B55" s="192"/>
      <c r="C55" s="125"/>
      <c r="D55" s="125"/>
      <c r="E55" s="125"/>
      <c r="F55" s="125"/>
      <c r="G55" s="125"/>
      <c r="H55" s="125"/>
      <c r="I55" s="125"/>
      <c r="J55" s="125"/>
      <c r="K55" s="125"/>
    </row>
    <row r="56" spans="2:11" s="123" customFormat="1" ht="23.25" customHeight="1" x14ac:dyDescent="0.2">
      <c r="B56" s="192"/>
      <c r="C56" s="125"/>
      <c r="D56" s="125"/>
      <c r="E56" s="125"/>
      <c r="F56" s="125"/>
      <c r="G56" s="125"/>
      <c r="H56" s="125"/>
      <c r="I56" s="125"/>
      <c r="J56" s="125"/>
      <c r="K56" s="125"/>
    </row>
    <row r="57" spans="2:11" s="123" customFormat="1" ht="15.75" thickBot="1" x14ac:dyDescent="0.25">
      <c r="B57" s="22" t="s">
        <v>93</v>
      </c>
      <c r="C57" s="22"/>
      <c r="D57" s="22"/>
      <c r="E57" s="22"/>
      <c r="F57" s="23"/>
      <c r="G57" s="23"/>
      <c r="H57" s="24"/>
      <c r="I57" s="24"/>
      <c r="J57" s="24">
        <v>6000</v>
      </c>
      <c r="K57" s="108" t="s">
        <v>27</v>
      </c>
    </row>
    <row r="58" spans="2:11" s="123" customFormat="1" ht="36.75" customHeight="1" thickTop="1" x14ac:dyDescent="0.2">
      <c r="B58" s="265" t="s">
        <v>447</v>
      </c>
      <c r="C58" s="266"/>
      <c r="D58" s="266"/>
      <c r="E58" s="266"/>
      <c r="F58" s="266"/>
      <c r="G58" s="266"/>
      <c r="H58" s="266"/>
      <c r="I58" s="266"/>
      <c r="J58" s="266"/>
      <c r="K58" s="266"/>
    </row>
    <row r="59" spans="2:11" s="123" customFormat="1" ht="15.75" thickBot="1" x14ac:dyDescent="0.25">
      <c r="B59" s="22" t="s">
        <v>94</v>
      </c>
      <c r="C59" s="22"/>
      <c r="D59" s="22"/>
      <c r="E59" s="22"/>
      <c r="F59" s="23"/>
      <c r="G59" s="23"/>
      <c r="H59" s="24"/>
      <c r="I59" s="24"/>
      <c r="J59" s="24">
        <v>15</v>
      </c>
      <c r="K59" s="108" t="s">
        <v>27</v>
      </c>
    </row>
    <row r="60" spans="2:11" s="123" customFormat="1" ht="18.95" customHeight="1" thickTop="1" x14ac:dyDescent="0.2">
      <c r="B60" s="269" t="s">
        <v>352</v>
      </c>
      <c r="C60" s="270"/>
      <c r="D60" s="270"/>
      <c r="E60" s="270"/>
      <c r="F60" s="270"/>
      <c r="G60" s="270"/>
      <c r="H60" s="270"/>
      <c r="I60" s="270"/>
      <c r="J60" s="270"/>
      <c r="K60" s="270"/>
    </row>
    <row r="61" spans="2:11" s="123" customFormat="1" ht="18.95" customHeight="1" x14ac:dyDescent="0.2">
      <c r="B61" s="124" t="s">
        <v>511</v>
      </c>
      <c r="C61" s="125"/>
      <c r="D61" s="125"/>
      <c r="E61" s="125"/>
      <c r="F61" s="125"/>
      <c r="G61" s="125"/>
      <c r="H61" s="125"/>
      <c r="I61" s="125"/>
      <c r="J61" s="125"/>
      <c r="K61" s="125"/>
    </row>
    <row r="62" spans="2:11" s="123" customFormat="1" ht="15.75" thickBot="1" x14ac:dyDescent="0.25">
      <c r="B62" s="29" t="s">
        <v>95</v>
      </c>
      <c r="C62" s="29"/>
      <c r="D62" s="29"/>
      <c r="E62" s="29"/>
      <c r="F62" s="30"/>
      <c r="G62" s="30"/>
      <c r="H62" s="31"/>
      <c r="I62" s="31"/>
      <c r="J62" s="31">
        <v>250</v>
      </c>
      <c r="K62" s="109" t="s">
        <v>27</v>
      </c>
    </row>
    <row r="63" spans="2:11" s="123" customFormat="1" ht="16.5" thickTop="1" thickBot="1" x14ac:dyDescent="0.25">
      <c r="B63" s="26" t="s">
        <v>96</v>
      </c>
      <c r="C63" s="26"/>
      <c r="D63" s="26"/>
      <c r="E63" s="26"/>
      <c r="F63" s="27"/>
      <c r="G63" s="27"/>
      <c r="H63" s="28"/>
      <c r="I63" s="28"/>
      <c r="J63" s="28">
        <v>2250</v>
      </c>
      <c r="K63" s="110" t="s">
        <v>27</v>
      </c>
    </row>
    <row r="64" spans="2:11" s="123" customFormat="1" ht="42.75" customHeight="1" thickTop="1" x14ac:dyDescent="0.2">
      <c r="B64" s="265" t="s">
        <v>583</v>
      </c>
      <c r="C64" s="266"/>
      <c r="D64" s="266"/>
      <c r="E64" s="266"/>
      <c r="F64" s="266"/>
      <c r="G64" s="266"/>
      <c r="H64" s="266"/>
      <c r="I64" s="266"/>
      <c r="J64" s="266"/>
      <c r="K64" s="266"/>
    </row>
    <row r="65" spans="2:11" s="123" customFormat="1" ht="16.5" customHeight="1" x14ac:dyDescent="0.2">
      <c r="B65" s="124" t="s">
        <v>514</v>
      </c>
      <c r="C65" s="187"/>
      <c r="D65" s="187"/>
      <c r="E65" s="187"/>
      <c r="F65" s="187"/>
      <c r="G65" s="187"/>
      <c r="H65" s="187"/>
      <c r="I65" s="187"/>
      <c r="J65" s="187"/>
      <c r="K65" s="187"/>
    </row>
    <row r="66" spans="2:11" s="123" customFormat="1" ht="15.75" thickBot="1" x14ac:dyDescent="0.25">
      <c r="B66" s="22" t="s">
        <v>97</v>
      </c>
      <c r="C66" s="22"/>
      <c r="D66" s="22"/>
      <c r="E66" s="22"/>
      <c r="F66" s="23"/>
      <c r="G66" s="23"/>
      <c r="H66" s="24"/>
      <c r="I66" s="24"/>
      <c r="J66" s="24">
        <v>100</v>
      </c>
      <c r="K66" s="108" t="s">
        <v>27</v>
      </c>
    </row>
    <row r="67" spans="2:11" s="123" customFormat="1" ht="24" customHeight="1" thickTop="1" x14ac:dyDescent="0.2">
      <c r="B67" s="265" t="s">
        <v>353</v>
      </c>
      <c r="C67" s="266"/>
      <c r="D67" s="266"/>
      <c r="E67" s="266"/>
      <c r="F67" s="266"/>
      <c r="G67" s="266"/>
      <c r="H67" s="266"/>
      <c r="I67" s="266"/>
      <c r="J67" s="266"/>
      <c r="K67" s="266"/>
    </row>
    <row r="68" spans="2:11" s="123" customFormat="1" ht="15" customHeight="1" x14ac:dyDescent="0.2">
      <c r="B68" s="124" t="s">
        <v>515</v>
      </c>
      <c r="C68" s="187"/>
      <c r="D68" s="187"/>
      <c r="E68" s="187"/>
      <c r="F68" s="187"/>
      <c r="G68" s="187"/>
      <c r="H68" s="187"/>
      <c r="I68" s="187"/>
      <c r="J68" s="187"/>
      <c r="K68" s="187"/>
    </row>
    <row r="69" spans="2:11" s="123" customFormat="1" ht="15.75" thickBot="1" x14ac:dyDescent="0.25">
      <c r="B69" s="29" t="s">
        <v>98</v>
      </c>
      <c r="C69" s="29"/>
      <c r="D69" s="29"/>
      <c r="E69" s="29"/>
      <c r="F69" s="30"/>
      <c r="G69" s="30"/>
      <c r="H69" s="31"/>
      <c r="I69" s="31"/>
      <c r="J69" s="31">
        <v>700</v>
      </c>
      <c r="K69" s="109" t="s">
        <v>27</v>
      </c>
    </row>
    <row r="70" spans="2:11" s="123" customFormat="1" ht="16.5" thickTop="1" thickBot="1" x14ac:dyDescent="0.25">
      <c r="B70" s="26" t="s">
        <v>99</v>
      </c>
      <c r="C70" s="26"/>
      <c r="D70" s="26"/>
      <c r="E70" s="26"/>
      <c r="F70" s="27"/>
      <c r="G70" s="27"/>
      <c r="H70" s="28"/>
      <c r="I70" s="28"/>
      <c r="J70" s="28">
        <v>1300</v>
      </c>
      <c r="K70" s="110" t="s">
        <v>27</v>
      </c>
    </row>
    <row r="71" spans="2:11" s="123" customFormat="1" ht="26.1" customHeight="1" thickTop="1" x14ac:dyDescent="0.2">
      <c r="B71" s="265" t="s">
        <v>662</v>
      </c>
      <c r="C71" s="266"/>
      <c r="D71" s="266"/>
      <c r="E71" s="266"/>
      <c r="F71" s="266"/>
      <c r="G71" s="266"/>
      <c r="H71" s="266"/>
      <c r="I71" s="266"/>
      <c r="J71" s="266"/>
      <c r="K71" s="266"/>
    </row>
    <row r="72" spans="2:11" s="123" customFormat="1" ht="15.75" thickBot="1" x14ac:dyDescent="0.25">
      <c r="B72" s="22" t="s">
        <v>100</v>
      </c>
      <c r="C72" s="22"/>
      <c r="D72" s="22"/>
      <c r="E72" s="22"/>
      <c r="F72" s="23"/>
      <c r="G72" s="23"/>
      <c r="H72" s="24"/>
      <c r="I72" s="24"/>
      <c r="J72" s="24">
        <v>50</v>
      </c>
      <c r="K72" s="108" t="s">
        <v>27</v>
      </c>
    </row>
    <row r="73" spans="2:11" s="123" customFormat="1" ht="23.1" customHeight="1" thickTop="1" x14ac:dyDescent="0.2">
      <c r="B73" s="269" t="s">
        <v>354</v>
      </c>
      <c r="C73" s="270"/>
      <c r="D73" s="270"/>
      <c r="E73" s="270"/>
      <c r="F73" s="270"/>
      <c r="G73" s="270"/>
      <c r="H73" s="270"/>
      <c r="I73" s="270"/>
      <c r="J73" s="270"/>
      <c r="K73" s="270"/>
    </row>
    <row r="74" spans="2:11" s="123" customFormat="1" ht="15.75" thickBot="1" x14ac:dyDescent="0.25">
      <c r="B74" s="22" t="s">
        <v>101</v>
      </c>
      <c r="C74" s="22"/>
      <c r="D74" s="22"/>
      <c r="E74" s="22"/>
      <c r="F74" s="23"/>
      <c r="G74" s="23"/>
      <c r="H74" s="24"/>
      <c r="I74" s="24"/>
      <c r="J74" s="24">
        <v>100</v>
      </c>
      <c r="K74" s="108" t="s">
        <v>27</v>
      </c>
    </row>
    <row r="75" spans="2:11" s="123" customFormat="1" ht="21" customHeight="1" thickTop="1" x14ac:dyDescent="0.2">
      <c r="B75" s="269" t="s">
        <v>355</v>
      </c>
      <c r="C75" s="270"/>
      <c r="D75" s="270"/>
      <c r="E75" s="270"/>
      <c r="F75" s="270"/>
      <c r="G75" s="270"/>
      <c r="H75" s="270"/>
      <c r="I75" s="270"/>
      <c r="J75" s="270"/>
      <c r="K75" s="270"/>
    </row>
    <row r="76" spans="2:11" s="123" customFormat="1" ht="15.75" thickBot="1" x14ac:dyDescent="0.25">
      <c r="B76" s="22" t="s">
        <v>101</v>
      </c>
      <c r="C76" s="22"/>
      <c r="D76" s="22"/>
      <c r="E76" s="22"/>
      <c r="F76" s="23"/>
      <c r="G76" s="23"/>
      <c r="H76" s="24"/>
      <c r="I76" s="24"/>
      <c r="J76" s="24">
        <v>500</v>
      </c>
      <c r="K76" s="108" t="s">
        <v>27</v>
      </c>
    </row>
    <row r="77" spans="2:11" s="123" customFormat="1" ht="18.95" customHeight="1" thickTop="1" x14ac:dyDescent="0.2">
      <c r="B77" s="269" t="s">
        <v>356</v>
      </c>
      <c r="C77" s="270"/>
      <c r="D77" s="270"/>
      <c r="E77" s="270"/>
      <c r="F77" s="270"/>
      <c r="G77" s="270"/>
      <c r="H77" s="270"/>
      <c r="I77" s="270"/>
      <c r="J77" s="270"/>
      <c r="K77" s="270"/>
    </row>
    <row r="78" spans="2:11" s="123" customFormat="1" ht="15.75" thickBot="1" x14ac:dyDescent="0.25">
      <c r="B78" s="22" t="s">
        <v>29</v>
      </c>
      <c r="C78" s="22"/>
      <c r="D78" s="22"/>
      <c r="E78" s="22"/>
      <c r="F78" s="23"/>
      <c r="G78" s="23"/>
      <c r="H78" s="24"/>
      <c r="I78" s="24"/>
      <c r="J78" s="24">
        <v>15</v>
      </c>
      <c r="K78" s="108" t="s">
        <v>27</v>
      </c>
    </row>
    <row r="79" spans="2:11" s="123" customFormat="1" ht="20.100000000000001" customHeight="1" thickTop="1" x14ac:dyDescent="0.2">
      <c r="B79" s="269" t="s">
        <v>357</v>
      </c>
      <c r="C79" s="270"/>
      <c r="D79" s="270"/>
      <c r="E79" s="270"/>
      <c r="F79" s="270"/>
      <c r="G79" s="270"/>
      <c r="H79" s="270"/>
      <c r="I79" s="270"/>
      <c r="J79" s="270"/>
      <c r="K79" s="270"/>
    </row>
    <row r="80" spans="2:11" s="123" customFormat="1" ht="14.25" x14ac:dyDescent="0.2">
      <c r="K80" s="186"/>
    </row>
  </sheetData>
  <mergeCells count="13">
    <mergeCell ref="B79:K79"/>
    <mergeCell ref="B64:K64"/>
    <mergeCell ref="B67:K67"/>
    <mergeCell ref="B71:K71"/>
    <mergeCell ref="B73:K73"/>
    <mergeCell ref="B75:K75"/>
    <mergeCell ref="B77:K77"/>
    <mergeCell ref="B60:K60"/>
    <mergeCell ref="B2:F2"/>
    <mergeCell ref="B49:K49"/>
    <mergeCell ref="B51:K51"/>
    <mergeCell ref="B54:K54"/>
    <mergeCell ref="B58:K58"/>
  </mergeCells>
  <pageMargins left="0.70866141732283472" right="0.70866141732283472" top="0.78740157480314965" bottom="0.78740157480314965" header="0.31496062992125984" footer="0.31496062992125984"/>
  <pageSetup paperSize="9" scale="74" firstPageNumber="68" fitToHeight="9999" orientation="portrait" useFirstPageNumber="1" r:id="rId1"/>
  <headerFooter>
    <oddFooter>&amp;L&amp;"Arial CE,Kurzíva"Zastupitelstvo Olomouckého kraje 16-12-2011
6. - Rozpočet Olomouckého kraje 2012 - návrh rozpočtu 
Příloha č. 3a): Výdaje odborů (kanceláří)&amp;R&amp;"Arial CE,Kurzíva"Strana  &amp;P (celkem 167)</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pageSetUpPr fitToPage="1"/>
  </sheetPr>
  <dimension ref="B2:K20"/>
  <sheetViews>
    <sheetView showGridLines="0" workbookViewId="0">
      <selection activeCell="F28" sqref="F28"/>
    </sheetView>
  </sheetViews>
  <sheetFormatPr defaultRowHeight="12.75" x14ac:dyDescent="0.2"/>
  <cols>
    <col min="1" max="1" width="0.85546875" customWidth="1"/>
    <col min="2" max="3" width="4.7109375" customWidth="1"/>
    <col min="4" max="4" width="9.7109375" customWidth="1"/>
    <col min="5" max="5" width="11.7109375" customWidth="1"/>
    <col min="6" max="6" width="37.7109375" customWidth="1"/>
    <col min="7" max="10" width="10.7109375" customWidth="1"/>
    <col min="11" max="11" width="7.7109375" customWidth="1"/>
  </cols>
  <sheetData>
    <row r="2" spans="2:11" ht="33.950000000000003" customHeight="1" x14ac:dyDescent="0.2">
      <c r="B2" s="267" t="s">
        <v>74</v>
      </c>
      <c r="C2" s="268"/>
      <c r="D2" s="268"/>
      <c r="E2" s="268"/>
      <c r="F2" s="268"/>
      <c r="G2" s="3"/>
      <c r="H2" s="3"/>
      <c r="I2" s="3"/>
      <c r="J2" s="3"/>
      <c r="K2" s="3" t="s">
        <v>75</v>
      </c>
    </row>
    <row r="5" spans="2:11" s="123" customFormat="1" ht="15" x14ac:dyDescent="0.2">
      <c r="B5" s="188" t="s">
        <v>0</v>
      </c>
      <c r="C5" s="188"/>
      <c r="D5" s="188" t="s">
        <v>76</v>
      </c>
      <c r="E5" s="189"/>
      <c r="F5" s="189"/>
      <c r="G5" s="189"/>
      <c r="H5" s="189"/>
      <c r="I5" s="189"/>
      <c r="J5" s="189"/>
      <c r="K5" s="189"/>
    </row>
    <row r="6" spans="2:11" s="123" customFormat="1" ht="15" x14ac:dyDescent="0.2">
      <c r="B6" s="188"/>
      <c r="C6" s="188"/>
      <c r="D6" s="188" t="s">
        <v>33</v>
      </c>
      <c r="E6" s="189"/>
      <c r="F6" s="189"/>
      <c r="G6" s="189"/>
      <c r="H6" s="189"/>
      <c r="I6" s="189"/>
      <c r="J6" s="189"/>
      <c r="K6" s="189"/>
    </row>
    <row r="7" spans="2:11" ht="13.5" thickBot="1" x14ac:dyDescent="0.25">
      <c r="B7" s="5"/>
      <c r="C7" s="5"/>
      <c r="D7" s="5"/>
      <c r="E7" s="5"/>
      <c r="F7" s="5"/>
      <c r="G7" s="5"/>
      <c r="H7" s="5"/>
      <c r="I7" s="5"/>
      <c r="J7" s="5"/>
      <c r="K7" s="5" t="s">
        <v>3</v>
      </c>
    </row>
    <row r="8" spans="2:11" ht="35.1" customHeight="1" x14ac:dyDescent="0.2">
      <c r="B8" s="7" t="s">
        <v>4</v>
      </c>
      <c r="C8" s="8" t="s">
        <v>5</v>
      </c>
      <c r="D8" s="8" t="s">
        <v>6</v>
      </c>
      <c r="E8" s="8" t="s">
        <v>7</v>
      </c>
      <c r="F8" s="6" t="s">
        <v>8</v>
      </c>
      <c r="G8" s="6" t="s">
        <v>9</v>
      </c>
      <c r="H8" s="6" t="s">
        <v>10</v>
      </c>
      <c r="I8" s="6" t="s">
        <v>11</v>
      </c>
      <c r="J8" s="6" t="s">
        <v>12</v>
      </c>
      <c r="K8" s="9" t="s">
        <v>13</v>
      </c>
    </row>
    <row r="9" spans="2:11" ht="13.5" thickBot="1" x14ac:dyDescent="0.25">
      <c r="B9" s="10">
        <v>1</v>
      </c>
      <c r="C9" s="11">
        <v>2</v>
      </c>
      <c r="D9" s="11">
        <v>3</v>
      </c>
      <c r="E9" s="11">
        <v>4</v>
      </c>
      <c r="F9" s="12">
        <v>5</v>
      </c>
      <c r="G9" s="12">
        <v>6</v>
      </c>
      <c r="H9" s="12">
        <v>7</v>
      </c>
      <c r="I9" s="12">
        <v>8</v>
      </c>
      <c r="J9" s="12">
        <v>9</v>
      </c>
      <c r="K9" s="13" t="s">
        <v>14</v>
      </c>
    </row>
    <row r="10" spans="2:11" ht="25.5" x14ac:dyDescent="0.2">
      <c r="B10" s="88">
        <v>6172</v>
      </c>
      <c r="C10" s="89">
        <v>5166</v>
      </c>
      <c r="D10" s="89">
        <v>0</v>
      </c>
      <c r="E10" s="89">
        <v>20000000000</v>
      </c>
      <c r="F10" s="90" t="s">
        <v>42</v>
      </c>
      <c r="G10" s="91">
        <v>20</v>
      </c>
      <c r="H10" s="91">
        <v>0</v>
      </c>
      <c r="I10" s="91">
        <v>0</v>
      </c>
      <c r="J10" s="91">
        <v>0</v>
      </c>
      <c r="K10" s="113">
        <v>0</v>
      </c>
    </row>
    <row r="11" spans="2:11" ht="26.25" thickBot="1" x14ac:dyDescent="0.25">
      <c r="B11" s="82">
        <v>6172</v>
      </c>
      <c r="C11" s="83">
        <v>5192</v>
      </c>
      <c r="D11" s="83">
        <v>0</v>
      </c>
      <c r="E11" s="83">
        <v>20000000000</v>
      </c>
      <c r="F11" s="84" t="s">
        <v>63</v>
      </c>
      <c r="G11" s="85">
        <v>20</v>
      </c>
      <c r="H11" s="85">
        <v>20</v>
      </c>
      <c r="I11" s="85">
        <v>0</v>
      </c>
      <c r="J11" s="85">
        <v>20</v>
      </c>
      <c r="K11" s="103">
        <v>100</v>
      </c>
    </row>
    <row r="12" spans="2:11" ht="15.75" thickBot="1" x14ac:dyDescent="0.25">
      <c r="B12" s="18" t="s">
        <v>25</v>
      </c>
      <c r="C12" s="19"/>
      <c r="D12" s="19"/>
      <c r="E12" s="19"/>
      <c r="F12" s="20"/>
      <c r="G12" s="21">
        <v>40</v>
      </c>
      <c r="H12" s="21">
        <v>20</v>
      </c>
      <c r="I12" s="21">
        <v>0</v>
      </c>
      <c r="J12" s="21">
        <v>20</v>
      </c>
      <c r="K12" s="106">
        <v>50</v>
      </c>
    </row>
    <row r="13" spans="2:11" x14ac:dyDescent="0.2">
      <c r="F13" s="1"/>
      <c r="G13" s="1"/>
      <c r="H13" s="1"/>
      <c r="I13" s="1"/>
      <c r="J13" s="1"/>
    </row>
    <row r="14" spans="2:11" s="123" customFormat="1" ht="14.25" x14ac:dyDescent="0.2">
      <c r="B14" s="122"/>
      <c r="F14" s="185"/>
      <c r="G14" s="185"/>
      <c r="H14" s="185"/>
      <c r="I14" s="185"/>
      <c r="J14" s="185"/>
    </row>
    <row r="15" spans="2:11" s="123" customFormat="1" ht="14.25" x14ac:dyDescent="0.2">
      <c r="F15" s="185"/>
      <c r="G15" s="185"/>
      <c r="H15" s="185"/>
      <c r="I15" s="185"/>
      <c r="J15" s="185"/>
    </row>
    <row r="16" spans="2:11" s="123" customFormat="1" ht="15.75" thickBot="1" x14ac:dyDescent="0.25">
      <c r="B16" s="22" t="s">
        <v>77</v>
      </c>
      <c r="C16" s="22"/>
      <c r="D16" s="22"/>
      <c r="E16" s="22"/>
      <c r="F16" s="23"/>
      <c r="G16" s="23"/>
      <c r="H16" s="24"/>
      <c r="I16" s="24"/>
      <c r="J16" s="24">
        <v>20</v>
      </c>
      <c r="K16" s="25" t="s">
        <v>27</v>
      </c>
    </row>
    <row r="17" spans="2:11" s="123" customFormat="1" ht="39.950000000000003" customHeight="1" thickTop="1" x14ac:dyDescent="0.2">
      <c r="B17" s="265" t="s">
        <v>448</v>
      </c>
      <c r="C17" s="266"/>
      <c r="D17" s="266"/>
      <c r="E17" s="266"/>
      <c r="F17" s="266"/>
      <c r="G17" s="266"/>
      <c r="H17" s="266"/>
      <c r="I17" s="266"/>
      <c r="J17" s="266"/>
      <c r="K17" s="266"/>
    </row>
    <row r="18" spans="2:11" s="123" customFormat="1" ht="14.25" x14ac:dyDescent="0.2"/>
    <row r="19" spans="2:11" s="123" customFormat="1" ht="14.25" x14ac:dyDescent="0.2"/>
    <row r="20" spans="2:11" s="123" customFormat="1" ht="14.25" x14ac:dyDescent="0.2"/>
  </sheetData>
  <mergeCells count="2">
    <mergeCell ref="B2:F2"/>
    <mergeCell ref="B17:K17"/>
  </mergeCells>
  <pageMargins left="0.70866141732283472" right="0.70866141732283472" top="0.78740157480314965" bottom="0.78740157480314965" header="0.31496062992125984" footer="0.31496062992125984"/>
  <pageSetup paperSize="9" scale="74" firstPageNumber="70" fitToHeight="9999" orientation="portrait" useFirstPageNumber="1" r:id="rId1"/>
  <headerFooter>
    <oddFooter>&amp;L&amp;"Arial CE,Kurzíva"Zastupitelstvo Olomouckého kraje 16-12-2011
6. - Rozpočet Olomouckého kraje 2012 - návrh rozpočtu 
Příloha č. 3a): Výdaje odborů (kanceláří)&amp;R&amp;"Arial CE,Kurzíva"Strana &amp;P (celkem 167)</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pageSetUpPr fitToPage="1"/>
  </sheetPr>
  <dimension ref="B2:K18"/>
  <sheetViews>
    <sheetView showGridLines="0" workbookViewId="0">
      <selection activeCell="B13" sqref="B13"/>
    </sheetView>
  </sheetViews>
  <sheetFormatPr defaultRowHeight="12.75" x14ac:dyDescent="0.2"/>
  <cols>
    <col min="1" max="1" width="0.85546875" customWidth="1"/>
    <col min="2" max="3" width="4.7109375" customWidth="1"/>
    <col min="4" max="4" width="9.7109375" customWidth="1"/>
    <col min="5" max="5" width="11.7109375" customWidth="1"/>
    <col min="6" max="6" width="37.7109375" customWidth="1"/>
    <col min="7" max="10" width="10.7109375" customWidth="1"/>
    <col min="11" max="11" width="7.7109375" customWidth="1"/>
  </cols>
  <sheetData>
    <row r="2" spans="2:11" ht="30" customHeight="1" x14ac:dyDescent="0.2">
      <c r="B2" s="267" t="s">
        <v>70</v>
      </c>
      <c r="C2" s="268"/>
      <c r="D2" s="268"/>
      <c r="E2" s="268"/>
      <c r="F2" s="268"/>
      <c r="G2" s="3"/>
      <c r="H2" s="3"/>
      <c r="I2" s="3"/>
      <c r="J2" s="3"/>
      <c r="K2" s="3" t="s">
        <v>71</v>
      </c>
    </row>
    <row r="5" spans="2:11" s="123" customFormat="1" ht="15" x14ac:dyDescent="0.2">
      <c r="B5" s="188" t="s">
        <v>0</v>
      </c>
      <c r="C5" s="188"/>
      <c r="D5" s="188" t="s">
        <v>72</v>
      </c>
      <c r="E5" s="189"/>
      <c r="F5" s="189"/>
      <c r="G5" s="189"/>
      <c r="H5" s="189"/>
      <c r="I5" s="189"/>
      <c r="J5" s="189"/>
      <c r="K5" s="189"/>
    </row>
    <row r="6" spans="2:11" s="123" customFormat="1" ht="15" x14ac:dyDescent="0.2">
      <c r="B6" s="188"/>
      <c r="C6" s="188"/>
      <c r="D6" s="188" t="s">
        <v>73</v>
      </c>
      <c r="E6" s="189"/>
      <c r="F6" s="189"/>
      <c r="G6" s="189"/>
      <c r="H6" s="189"/>
      <c r="I6" s="189"/>
      <c r="J6" s="189"/>
      <c r="K6" s="189"/>
    </row>
    <row r="7" spans="2:11" ht="13.5" thickBot="1" x14ac:dyDescent="0.25">
      <c r="B7" s="5"/>
      <c r="C7" s="5"/>
      <c r="D7" s="5"/>
      <c r="E7" s="5"/>
      <c r="F7" s="5"/>
      <c r="G7" s="5"/>
      <c r="H7" s="5"/>
      <c r="I7" s="5"/>
      <c r="J7" s="5"/>
      <c r="K7" s="5" t="s">
        <v>3</v>
      </c>
    </row>
    <row r="8" spans="2:11" ht="35.1" customHeight="1" x14ac:dyDescent="0.2">
      <c r="B8" s="7" t="s">
        <v>4</v>
      </c>
      <c r="C8" s="8" t="s">
        <v>5</v>
      </c>
      <c r="D8" s="8" t="s">
        <v>6</v>
      </c>
      <c r="E8" s="8" t="s">
        <v>7</v>
      </c>
      <c r="F8" s="6" t="s">
        <v>8</v>
      </c>
      <c r="G8" s="6" t="s">
        <v>9</v>
      </c>
      <c r="H8" s="6" t="s">
        <v>10</v>
      </c>
      <c r="I8" s="6" t="s">
        <v>11</v>
      </c>
      <c r="J8" s="6" t="s">
        <v>12</v>
      </c>
      <c r="K8" s="9" t="s">
        <v>13</v>
      </c>
    </row>
    <row r="9" spans="2:11" ht="13.5" thickBot="1" x14ac:dyDescent="0.25">
      <c r="B9" s="10">
        <v>1</v>
      </c>
      <c r="C9" s="11">
        <v>2</v>
      </c>
      <c r="D9" s="11">
        <v>3</v>
      </c>
      <c r="E9" s="11">
        <v>4</v>
      </c>
      <c r="F9" s="12">
        <v>5</v>
      </c>
      <c r="G9" s="12">
        <v>6</v>
      </c>
      <c r="H9" s="12">
        <v>7</v>
      </c>
      <c r="I9" s="12">
        <v>8</v>
      </c>
      <c r="J9" s="12">
        <v>9</v>
      </c>
      <c r="K9" s="13" t="s">
        <v>14</v>
      </c>
    </row>
    <row r="10" spans="2:11" ht="26.25" thickBot="1" x14ac:dyDescent="0.25">
      <c r="B10" s="14">
        <v>6172</v>
      </c>
      <c r="C10" s="15">
        <v>5166</v>
      </c>
      <c r="D10" s="15">
        <v>0</v>
      </c>
      <c r="E10" s="15">
        <v>20000000000</v>
      </c>
      <c r="F10" s="16" t="s">
        <v>42</v>
      </c>
      <c r="G10" s="17">
        <v>20</v>
      </c>
      <c r="H10" s="17">
        <v>0</v>
      </c>
      <c r="I10" s="17">
        <v>0</v>
      </c>
      <c r="J10" s="17">
        <v>20</v>
      </c>
      <c r="K10" s="105">
        <v>100</v>
      </c>
    </row>
    <row r="11" spans="2:11" ht="15.75" thickBot="1" x14ac:dyDescent="0.25">
      <c r="B11" s="18" t="s">
        <v>25</v>
      </c>
      <c r="C11" s="19"/>
      <c r="D11" s="19"/>
      <c r="E11" s="19"/>
      <c r="F11" s="20"/>
      <c r="G11" s="21">
        <v>20</v>
      </c>
      <c r="H11" s="21">
        <v>0</v>
      </c>
      <c r="I11" s="21">
        <v>0</v>
      </c>
      <c r="J11" s="21">
        <v>20</v>
      </c>
      <c r="K11" s="106">
        <v>100</v>
      </c>
    </row>
    <row r="12" spans="2:11" x14ac:dyDescent="0.2">
      <c r="F12" s="1"/>
      <c r="G12" s="1"/>
      <c r="H12" s="1"/>
      <c r="I12" s="1"/>
      <c r="J12" s="1"/>
    </row>
    <row r="13" spans="2:11" s="123" customFormat="1" ht="14.25" x14ac:dyDescent="0.2">
      <c r="B13" s="122"/>
      <c r="F13" s="185"/>
      <c r="G13" s="185"/>
      <c r="H13" s="185"/>
      <c r="I13" s="185"/>
      <c r="J13" s="185"/>
    </row>
    <row r="14" spans="2:11" s="123" customFormat="1" ht="14.25" x14ac:dyDescent="0.2">
      <c r="F14" s="185"/>
      <c r="G14" s="185"/>
      <c r="H14" s="185"/>
      <c r="I14" s="185"/>
      <c r="J14" s="185"/>
    </row>
    <row r="15" spans="2:11" s="123" customFormat="1" ht="15.75" thickBot="1" x14ac:dyDescent="0.25">
      <c r="B15" s="22" t="s">
        <v>51</v>
      </c>
      <c r="C15" s="22"/>
      <c r="D15" s="22"/>
      <c r="E15" s="22"/>
      <c r="F15" s="23"/>
      <c r="G15" s="23"/>
      <c r="H15" s="24"/>
      <c r="I15" s="24"/>
      <c r="J15" s="24">
        <v>20</v>
      </c>
      <c r="K15" s="25" t="s">
        <v>27</v>
      </c>
    </row>
    <row r="16" spans="2:11" s="123" customFormat="1" ht="42.95" customHeight="1" thickTop="1" x14ac:dyDescent="0.2">
      <c r="B16" s="265" t="s">
        <v>449</v>
      </c>
      <c r="C16" s="266"/>
      <c r="D16" s="266"/>
      <c r="E16" s="266"/>
      <c r="F16" s="266"/>
      <c r="G16" s="266"/>
      <c r="H16" s="266"/>
      <c r="I16" s="266"/>
      <c r="J16" s="266"/>
      <c r="K16" s="266"/>
    </row>
    <row r="17" s="123" customFormat="1" ht="14.25" x14ac:dyDescent="0.2"/>
    <row r="18" s="123" customFormat="1" ht="14.25" x14ac:dyDescent="0.2"/>
  </sheetData>
  <mergeCells count="2">
    <mergeCell ref="B2:F2"/>
    <mergeCell ref="B16:K16"/>
  </mergeCells>
  <pageMargins left="0.70866141732283472" right="0.70866141732283472" top="0.78740157480314965" bottom="0.78740157480314965" header="0.31496062992125984" footer="0.31496062992125984"/>
  <pageSetup paperSize="9" scale="74" firstPageNumber="71" fitToHeight="9999" orientation="portrait" useFirstPageNumber="1" r:id="rId1"/>
  <headerFooter>
    <oddFooter>&amp;L&amp;"Arial CE,Kurzíva"Zastupitelstvo Olomouckého kraje 16-12-2011
6. - Rozpočet Olomouckého kraje 2012 - návrh rozpočtu 
Příloha č. 3a): Výdaje odborů (kanceláří)&amp;R&amp;"Arial CE,Tučné" &amp;"Arial CE,Kurzíva"Strana &amp;P (celkem 167)</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pageSetUpPr fitToPage="1"/>
  </sheetPr>
  <dimension ref="B2:K30"/>
  <sheetViews>
    <sheetView showGridLines="0" tabSelected="1" zoomScaleNormal="100" workbookViewId="0">
      <selection activeCell="K13" sqref="K13"/>
    </sheetView>
  </sheetViews>
  <sheetFormatPr defaultRowHeight="12.75" x14ac:dyDescent="0.2"/>
  <cols>
    <col min="1" max="1" width="0.85546875" customWidth="1"/>
    <col min="2" max="2" width="5.42578125" customWidth="1"/>
    <col min="3" max="3" width="4.85546875" customWidth="1"/>
    <col min="4" max="4" width="10.28515625" customWidth="1"/>
    <col min="5" max="5" width="12" customWidth="1"/>
    <col min="6" max="6" width="37.7109375" customWidth="1"/>
    <col min="7" max="10" width="10.7109375" customWidth="1"/>
    <col min="11" max="11" width="8.28515625" customWidth="1"/>
  </cols>
  <sheetData>
    <row r="2" spans="2:11" ht="36.950000000000003" customHeight="1" x14ac:dyDescent="0.2">
      <c r="B2" s="267" t="s">
        <v>61</v>
      </c>
      <c r="C2" s="268"/>
      <c r="D2" s="268"/>
      <c r="E2" s="268"/>
      <c r="F2" s="268"/>
      <c r="G2" s="3"/>
      <c r="H2" s="3"/>
      <c r="I2" s="3"/>
      <c r="J2" s="3"/>
      <c r="K2" s="3" t="s">
        <v>62</v>
      </c>
    </row>
    <row r="5" spans="2:11" s="123" customFormat="1" ht="15" x14ac:dyDescent="0.2">
      <c r="B5" s="188" t="s">
        <v>0</v>
      </c>
      <c r="C5" s="188"/>
      <c r="D5" s="188" t="s">
        <v>48</v>
      </c>
      <c r="E5" s="189"/>
      <c r="F5" s="189"/>
      <c r="G5" s="189"/>
      <c r="H5" s="189"/>
      <c r="I5" s="189"/>
      <c r="J5" s="189"/>
      <c r="K5" s="189"/>
    </row>
    <row r="6" spans="2:11" s="123" customFormat="1" ht="15" x14ac:dyDescent="0.2">
      <c r="B6" s="188"/>
      <c r="C6" s="188"/>
      <c r="D6" s="188" t="s">
        <v>33</v>
      </c>
      <c r="E6" s="189"/>
      <c r="F6" s="189"/>
      <c r="G6" s="189"/>
      <c r="H6" s="189"/>
      <c r="I6" s="189"/>
      <c r="J6" s="189"/>
      <c r="K6" s="189"/>
    </row>
    <row r="7" spans="2:11" ht="13.5" thickBot="1" x14ac:dyDescent="0.25">
      <c r="B7" s="5"/>
      <c r="C7" s="5"/>
      <c r="D7" s="5"/>
      <c r="E7" s="5"/>
      <c r="F7" s="5"/>
      <c r="G7" s="5"/>
      <c r="H7" s="5"/>
      <c r="I7" s="5"/>
      <c r="J7" s="5"/>
      <c r="K7" s="5" t="s">
        <v>3</v>
      </c>
    </row>
    <row r="8" spans="2:11" ht="35.1" customHeight="1" x14ac:dyDescent="0.2">
      <c r="B8" s="7" t="s">
        <v>4</v>
      </c>
      <c r="C8" s="8" t="s">
        <v>5</v>
      </c>
      <c r="D8" s="8" t="s">
        <v>6</v>
      </c>
      <c r="E8" s="8" t="s">
        <v>7</v>
      </c>
      <c r="F8" s="6" t="s">
        <v>8</v>
      </c>
      <c r="G8" s="6" t="s">
        <v>9</v>
      </c>
      <c r="H8" s="6" t="s">
        <v>10</v>
      </c>
      <c r="I8" s="6" t="s">
        <v>11</v>
      </c>
      <c r="J8" s="6" t="s">
        <v>12</v>
      </c>
      <c r="K8" s="9" t="s">
        <v>13</v>
      </c>
    </row>
    <row r="9" spans="2:11" ht="13.5" thickBot="1" x14ac:dyDescent="0.25">
      <c r="B9" s="10">
        <v>1</v>
      </c>
      <c r="C9" s="11">
        <v>2</v>
      </c>
      <c r="D9" s="11">
        <v>3</v>
      </c>
      <c r="E9" s="11">
        <v>4</v>
      </c>
      <c r="F9" s="12">
        <v>5</v>
      </c>
      <c r="G9" s="12">
        <v>6</v>
      </c>
      <c r="H9" s="12">
        <v>7</v>
      </c>
      <c r="I9" s="12">
        <v>8</v>
      </c>
      <c r="J9" s="12">
        <v>9</v>
      </c>
      <c r="K9" s="13" t="s">
        <v>14</v>
      </c>
    </row>
    <row r="10" spans="2:11" ht="15" x14ac:dyDescent="0.2">
      <c r="B10" s="88">
        <v>3315</v>
      </c>
      <c r="C10" s="89">
        <v>5901</v>
      </c>
      <c r="D10" s="89">
        <v>0</v>
      </c>
      <c r="E10" s="89">
        <v>60003100315</v>
      </c>
      <c r="F10" s="90" t="s">
        <v>17</v>
      </c>
      <c r="G10" s="91">
        <v>650</v>
      </c>
      <c r="H10" s="91">
        <v>1850</v>
      </c>
      <c r="I10" s="91">
        <v>0</v>
      </c>
      <c r="J10" s="91">
        <v>650</v>
      </c>
      <c r="K10" s="113">
        <v>100</v>
      </c>
    </row>
    <row r="11" spans="2:11" ht="15" x14ac:dyDescent="0.2">
      <c r="B11" s="82">
        <v>6172</v>
      </c>
      <c r="C11" s="83">
        <v>5164</v>
      </c>
      <c r="D11" s="83">
        <v>0</v>
      </c>
      <c r="E11" s="83">
        <v>20000000000</v>
      </c>
      <c r="F11" s="84" t="s">
        <v>20</v>
      </c>
      <c r="G11" s="85">
        <v>500</v>
      </c>
      <c r="H11" s="85">
        <v>400</v>
      </c>
      <c r="I11" s="85">
        <f>3040/100</f>
        <v>30.4</v>
      </c>
      <c r="J11" s="85">
        <v>500</v>
      </c>
      <c r="K11" s="103">
        <v>100</v>
      </c>
    </row>
    <row r="12" spans="2:11" ht="25.5" x14ac:dyDescent="0.2">
      <c r="B12" s="82">
        <v>6172</v>
      </c>
      <c r="C12" s="83">
        <v>5166</v>
      </c>
      <c r="D12" s="83">
        <v>0</v>
      </c>
      <c r="E12" s="83">
        <v>20000000000</v>
      </c>
      <c r="F12" s="84" t="s">
        <v>42</v>
      </c>
      <c r="G12" s="85">
        <v>300</v>
      </c>
      <c r="H12" s="85">
        <f>29950/100</f>
        <v>299.5</v>
      </c>
      <c r="I12" s="85">
        <v>0</v>
      </c>
      <c r="J12" s="85">
        <v>300</v>
      </c>
      <c r="K12" s="103">
        <v>100</v>
      </c>
    </row>
    <row r="13" spans="2:11" ht="15" x14ac:dyDescent="0.2">
      <c r="B13" s="82">
        <v>6172</v>
      </c>
      <c r="C13" s="83">
        <v>5169</v>
      </c>
      <c r="D13" s="83">
        <v>0</v>
      </c>
      <c r="E13" s="83">
        <v>20000000000</v>
      </c>
      <c r="F13" s="84" t="s">
        <v>15</v>
      </c>
      <c r="G13" s="85">
        <v>100</v>
      </c>
      <c r="H13" s="85">
        <v>1112</v>
      </c>
      <c r="I13" s="85">
        <f>10350/100</f>
        <v>103.5</v>
      </c>
      <c r="J13" s="85">
        <v>250</v>
      </c>
      <c r="K13" s="114">
        <v>1200</v>
      </c>
    </row>
    <row r="14" spans="2:11" ht="26.25" thickBot="1" x14ac:dyDescent="0.25">
      <c r="B14" s="92">
        <v>6172</v>
      </c>
      <c r="C14" s="93">
        <v>5362</v>
      </c>
      <c r="D14" s="93">
        <v>0</v>
      </c>
      <c r="E14" s="93">
        <v>20000000000</v>
      </c>
      <c r="F14" s="94" t="s">
        <v>66</v>
      </c>
      <c r="G14" s="95">
        <v>50</v>
      </c>
      <c r="H14" s="95">
        <v>50</v>
      </c>
      <c r="I14" s="95">
        <v>0</v>
      </c>
      <c r="J14" s="95">
        <v>50</v>
      </c>
      <c r="K14" s="111">
        <v>100</v>
      </c>
    </row>
    <row r="15" spans="2:11" ht="15.75" thickBot="1" x14ac:dyDescent="0.25">
      <c r="B15" s="18" t="s">
        <v>25</v>
      </c>
      <c r="C15" s="19"/>
      <c r="D15" s="19"/>
      <c r="E15" s="19"/>
      <c r="F15" s="20"/>
      <c r="G15" s="21">
        <f t="shared" ref="G15:I15" si="0">SUM(G10:G14)</f>
        <v>1600</v>
      </c>
      <c r="H15" s="21">
        <f t="shared" si="0"/>
        <v>3711.5</v>
      </c>
      <c r="I15" s="21">
        <f t="shared" si="0"/>
        <v>133.9</v>
      </c>
      <c r="J15" s="21">
        <f>SUM(J10:J14)</f>
        <v>1750</v>
      </c>
      <c r="K15" s="106">
        <f>J15/G15*100</f>
        <v>109.375</v>
      </c>
    </row>
    <row r="16" spans="2:11" x14ac:dyDescent="0.2">
      <c r="F16" s="1"/>
      <c r="G16" s="1"/>
      <c r="H16" s="1"/>
      <c r="I16" s="1"/>
      <c r="J16" s="1"/>
    </row>
    <row r="17" spans="2:11" x14ac:dyDescent="0.2">
      <c r="B17" s="112"/>
      <c r="F17" s="1"/>
      <c r="G17" s="1"/>
      <c r="H17" s="1"/>
      <c r="I17" s="1"/>
      <c r="J17" s="1"/>
    </row>
    <row r="18" spans="2:11" x14ac:dyDescent="0.2">
      <c r="F18" s="1"/>
      <c r="G18" s="1"/>
      <c r="H18" s="1"/>
      <c r="I18" s="1"/>
      <c r="J18" s="1"/>
    </row>
    <row r="19" spans="2:11" s="123" customFormat="1" ht="15.75" thickBot="1" x14ac:dyDescent="0.25">
      <c r="B19" s="22" t="s">
        <v>67</v>
      </c>
      <c r="C19" s="22"/>
      <c r="D19" s="22"/>
      <c r="E19" s="22"/>
      <c r="F19" s="23"/>
      <c r="G19" s="23"/>
      <c r="H19" s="24"/>
      <c r="I19" s="24"/>
      <c r="J19" s="24">
        <v>650</v>
      </c>
      <c r="K19" s="25" t="s">
        <v>27</v>
      </c>
    </row>
    <row r="20" spans="2:11" s="123" customFormat="1" ht="81" customHeight="1" thickTop="1" x14ac:dyDescent="0.2">
      <c r="B20" s="265" t="s">
        <v>450</v>
      </c>
      <c r="C20" s="266"/>
      <c r="D20" s="266"/>
      <c r="E20" s="266"/>
      <c r="F20" s="266"/>
      <c r="G20" s="266"/>
      <c r="H20" s="266"/>
      <c r="I20" s="266"/>
      <c r="J20" s="266"/>
      <c r="K20" s="266"/>
    </row>
    <row r="21" spans="2:11" s="123" customFormat="1" ht="15.75" thickBot="1" x14ac:dyDescent="0.25">
      <c r="B21" s="22" t="s">
        <v>68</v>
      </c>
      <c r="C21" s="22"/>
      <c r="D21" s="22"/>
      <c r="E21" s="22"/>
      <c r="F21" s="23"/>
      <c r="G21" s="23"/>
      <c r="H21" s="24"/>
      <c r="I21" s="24"/>
      <c r="J21" s="24">
        <v>500</v>
      </c>
      <c r="K21" s="25" t="s">
        <v>27</v>
      </c>
    </row>
    <row r="22" spans="2:11" s="123" customFormat="1" ht="23.25" customHeight="1" thickTop="1" x14ac:dyDescent="0.2">
      <c r="B22" s="265" t="s">
        <v>348</v>
      </c>
      <c r="C22" s="266"/>
      <c r="D22" s="266"/>
      <c r="E22" s="266"/>
      <c r="F22" s="266"/>
      <c r="G22" s="266"/>
      <c r="H22" s="266"/>
      <c r="I22" s="266"/>
      <c r="J22" s="266"/>
      <c r="K22" s="266"/>
    </row>
    <row r="23" spans="2:11" s="123" customFormat="1" ht="15.75" thickBot="1" x14ac:dyDescent="0.25">
      <c r="B23" s="22" t="s">
        <v>51</v>
      </c>
      <c r="C23" s="22"/>
      <c r="D23" s="22"/>
      <c r="E23" s="22"/>
      <c r="F23" s="23"/>
      <c r="G23" s="23"/>
      <c r="H23" s="24"/>
      <c r="I23" s="24"/>
      <c r="J23" s="24">
        <v>300</v>
      </c>
      <c r="K23" s="25" t="s">
        <v>27</v>
      </c>
    </row>
    <row r="24" spans="2:11" s="123" customFormat="1" ht="50.25" customHeight="1" thickTop="1" x14ac:dyDescent="0.2">
      <c r="B24" s="265" t="s">
        <v>451</v>
      </c>
      <c r="C24" s="266"/>
      <c r="D24" s="266"/>
      <c r="E24" s="266"/>
      <c r="F24" s="266"/>
      <c r="G24" s="266"/>
      <c r="H24" s="266"/>
      <c r="I24" s="266"/>
      <c r="J24" s="266"/>
      <c r="K24" s="266"/>
    </row>
    <row r="25" spans="2:11" s="123" customFormat="1" ht="15.75" thickBot="1" x14ac:dyDescent="0.25">
      <c r="B25" s="22" t="s">
        <v>29</v>
      </c>
      <c r="C25" s="22"/>
      <c r="D25" s="22"/>
      <c r="E25" s="22"/>
      <c r="F25" s="23"/>
      <c r="G25" s="23"/>
      <c r="H25" s="24"/>
      <c r="I25" s="24"/>
      <c r="J25" s="24">
        <v>250</v>
      </c>
      <c r="K25" s="25" t="s">
        <v>27</v>
      </c>
    </row>
    <row r="26" spans="2:11" s="123" customFormat="1" ht="23.25" customHeight="1" thickTop="1" x14ac:dyDescent="0.2">
      <c r="B26" s="269" t="s">
        <v>661</v>
      </c>
      <c r="C26" s="270"/>
      <c r="D26" s="270"/>
      <c r="E26" s="270"/>
      <c r="F26" s="270"/>
      <c r="G26" s="270"/>
      <c r="H26" s="270"/>
      <c r="I26" s="270"/>
      <c r="J26" s="270"/>
      <c r="K26" s="270"/>
    </row>
    <row r="27" spans="2:11" s="123" customFormat="1" ht="15.75" thickBot="1" x14ac:dyDescent="0.25">
      <c r="B27" s="22" t="s">
        <v>69</v>
      </c>
      <c r="C27" s="22"/>
      <c r="D27" s="22"/>
      <c r="E27" s="22"/>
      <c r="F27" s="23"/>
      <c r="G27" s="23"/>
      <c r="H27" s="24"/>
      <c r="I27" s="24"/>
      <c r="J27" s="24">
        <v>50</v>
      </c>
      <c r="K27" s="25" t="s">
        <v>27</v>
      </c>
    </row>
    <row r="28" spans="2:11" s="123" customFormat="1" ht="18" customHeight="1" thickTop="1" x14ac:dyDescent="0.2">
      <c r="B28" s="269" t="s">
        <v>349</v>
      </c>
      <c r="C28" s="270"/>
      <c r="D28" s="270"/>
      <c r="E28" s="270"/>
      <c r="F28" s="270"/>
      <c r="G28" s="270"/>
      <c r="H28" s="270"/>
      <c r="I28" s="270"/>
      <c r="J28" s="270"/>
      <c r="K28" s="270"/>
    </row>
    <row r="29" spans="2:11" s="123" customFormat="1" ht="14.25" x14ac:dyDescent="0.2"/>
    <row r="30" spans="2:11" s="123" customFormat="1" ht="14.25" x14ac:dyDescent="0.2"/>
  </sheetData>
  <mergeCells count="6">
    <mergeCell ref="B28:K28"/>
    <mergeCell ref="B2:F2"/>
    <mergeCell ref="B20:K20"/>
    <mergeCell ref="B22:K22"/>
    <mergeCell ref="B24:K24"/>
    <mergeCell ref="B26:K26"/>
  </mergeCells>
  <pageMargins left="0.70866141732283472" right="0.70866141732283472" top="0.78740157480314965" bottom="0.78740157480314965" header="0.31496062992125984" footer="0.31496062992125984"/>
  <pageSetup paperSize="9" scale="72" firstPageNumber="72" fitToHeight="9999" orientation="portrait" useFirstPageNumber="1" r:id="rId1"/>
  <headerFooter>
    <oddFooter>&amp;L&amp;"Arial CE,Kurzíva"Zastupitelstvo Olomouckého kraje 16-12-2011
6. - Rozpočet Olomouckého kraje 2012 - návrh rozpočtu 
Příloha č. 3a): Výdaje odborů (kanceláří)&amp;R&amp;"Arial CE,Kurzíva"Strana &amp;P (celkem 167)</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18</vt:i4>
      </vt:variant>
      <vt:variant>
        <vt:lpstr>Pojmenované oblasti</vt:lpstr>
      </vt:variant>
      <vt:variant>
        <vt:i4>2</vt:i4>
      </vt:variant>
    </vt:vector>
  </HeadingPairs>
  <TitlesOfParts>
    <vt:vector size="20" baseType="lpstr">
      <vt:lpstr>celkem</vt:lpstr>
      <vt:lpstr>ORJ - 01</vt:lpstr>
      <vt:lpstr>ORJ - 02</vt:lpstr>
      <vt:lpstr>ORJ - 03</vt:lpstr>
      <vt:lpstr>ORJ - 04</vt:lpstr>
      <vt:lpstr>ORJ - 05</vt:lpstr>
      <vt:lpstr>ORJ - 06</vt:lpstr>
      <vt:lpstr>ORJ - 07</vt:lpstr>
      <vt:lpstr>ORJ - 08</vt:lpstr>
      <vt:lpstr>ORJ - 09</vt:lpstr>
      <vt:lpstr>ORJ - 10</vt:lpstr>
      <vt:lpstr>ORJ - 11</vt:lpstr>
      <vt:lpstr>ORJ - 12</vt:lpstr>
      <vt:lpstr>ORJ - 13</vt:lpstr>
      <vt:lpstr>ORJ - 14</vt:lpstr>
      <vt:lpstr>ORJ - 15</vt:lpstr>
      <vt:lpstr>ORJ - 16</vt:lpstr>
      <vt:lpstr>ORJ - 17</vt:lpstr>
      <vt:lpstr>celkem!Oblast_tisku</vt:lpstr>
      <vt:lpstr>'ORJ - 08'!Oblast_tisku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Goth Jiří</dc:creator>
  <cp:lastModifiedBy>Kypusová Marta</cp:lastModifiedBy>
  <cp:lastPrinted>2011-11-25T11:51:29Z</cp:lastPrinted>
  <dcterms:created xsi:type="dcterms:W3CDTF">2001-10-24T13:08:44Z</dcterms:created>
  <dcterms:modified xsi:type="dcterms:W3CDTF">2011-11-28T11:40:06Z</dcterms:modified>
</cp:coreProperties>
</file>