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5" yWindow="-15" windowWidth="6000" windowHeight="5760" tabRatio="869" firstSheet="22" activeTab="44"/>
  </bookViews>
  <sheets>
    <sheet name="Rekapitulace " sheetId="70" r:id="rId1"/>
    <sheet name="1000" sheetId="23" r:id="rId2"/>
    <sheet name="1001" sheetId="22" r:id="rId3"/>
    <sheet name="1010" sheetId="20" r:id="rId4"/>
    <sheet name="1012" sheetId="18" r:id="rId5"/>
    <sheet name="1013" sheetId="17" r:id="rId6"/>
    <sheet name="1014" sheetId="16" r:id="rId7"/>
    <sheet name="1015" sheetId="15" r:id="rId8"/>
    <sheet name="1032" sheetId="26" r:id="rId9"/>
    <sheet name="1033" sheetId="27" r:id="rId10"/>
    <sheet name="1034" sheetId="28" r:id="rId11"/>
    <sheet name="1044" sheetId="66" r:id="rId12"/>
    <sheet name="1100" sheetId="29" r:id="rId13"/>
    <sheet name="1101" sheetId="30" r:id="rId14"/>
    <sheet name="1102" sheetId="31" r:id="rId15"/>
    <sheet name="1103" sheetId="32" r:id="rId16"/>
    <sheet name="1104" sheetId="33" r:id="rId17"/>
    <sheet name="1105" sheetId="34" r:id="rId18"/>
    <sheet name="1120" sheetId="35" r:id="rId19"/>
    <sheet name="1121" sheetId="36" r:id="rId20"/>
    <sheet name="1122" sheetId="37" r:id="rId21"/>
    <sheet name="1123" sheetId="38" r:id="rId22"/>
    <sheet name="1124" sheetId="39" r:id="rId23"/>
    <sheet name="1150" sheetId="40" r:id="rId24"/>
    <sheet name="1160" sheetId="68" r:id="rId25"/>
    <sheet name="1170" sheetId="42" r:id="rId26"/>
    <sheet name="1200" sheetId="43" r:id="rId27"/>
    <sheet name="1201" sheetId="44" r:id="rId28"/>
    <sheet name="1202" sheetId="45" r:id="rId29"/>
    <sheet name="1204" sheetId="47" r:id="rId30"/>
    <sheet name="1205" sheetId="48" r:id="rId31"/>
    <sheet name="1206" sheetId="49" r:id="rId32"/>
    <sheet name="1207" sheetId="50" r:id="rId33"/>
    <sheet name="1208" sheetId="53" r:id="rId34"/>
    <sheet name="1300" sheetId="54" r:id="rId35"/>
    <sheet name="1301" sheetId="55" r:id="rId36"/>
    <sheet name="1302" sheetId="56" r:id="rId37"/>
    <sheet name="1303" sheetId="57" r:id="rId38"/>
    <sheet name="1304" sheetId="58" r:id="rId39"/>
    <sheet name="1316" sheetId="65" r:id="rId40"/>
    <sheet name="1350" sheetId="59" r:id="rId41"/>
    <sheet name="1351" sheetId="60" r:id="rId42"/>
    <sheet name="1352" sheetId="61" r:id="rId43"/>
    <sheet name="1400" sheetId="62" r:id="rId44"/>
    <sheet name="1450" sheetId="63" r:id="rId45"/>
  </sheets>
  <definedNames>
    <definedName name="_xlnm.Print_Titles" localSheetId="0">'Rekapitulace '!$5:$8</definedName>
    <definedName name="_xlnm.Print_Area" localSheetId="3">'1010'!$A$1:$I$56</definedName>
    <definedName name="_xlnm.Print_Area" localSheetId="4">'1012'!$A$1:$I$56</definedName>
    <definedName name="_xlnm.Print_Area" localSheetId="6">'1014'!$A$1:$I$52</definedName>
    <definedName name="_xlnm.Print_Area" localSheetId="12">'1100'!$A$1:$I$57</definedName>
    <definedName name="_xlnm.Print_Area" localSheetId="13">'1101'!$A$1:$I$56</definedName>
    <definedName name="_xlnm.Print_Area" localSheetId="15">'1103'!$A$1:$I$55</definedName>
    <definedName name="_xlnm.Print_Area" localSheetId="16">'1104'!$A$1:$I$56</definedName>
    <definedName name="_xlnm.Print_Area" localSheetId="19">'1121'!$A$1:$I$56</definedName>
    <definedName name="_xlnm.Print_Area" localSheetId="20">'1122'!$A$1:$I$56</definedName>
    <definedName name="_xlnm.Print_Area" localSheetId="23">'1150'!$A$1:$I$56</definedName>
    <definedName name="_xlnm.Print_Area" localSheetId="25">'1170'!$A$1:$I$56</definedName>
    <definedName name="_xlnm.Print_Area" localSheetId="28">'1202'!$A$1:$I$55</definedName>
    <definedName name="_xlnm.Print_Area" localSheetId="29">'1204'!$A$1:$I$51</definedName>
    <definedName name="_xlnm.Print_Area" localSheetId="30">'1205'!$A$1:$I$52</definedName>
    <definedName name="_xlnm.Print_Area" localSheetId="31">'1206'!$A$1:$I$57</definedName>
    <definedName name="_xlnm.Print_Area" localSheetId="32">'1207'!$A$1:$I$56</definedName>
    <definedName name="_xlnm.Print_Area" localSheetId="34">'1300'!$A$1:$I$56</definedName>
    <definedName name="_xlnm.Print_Area" localSheetId="40">'1350'!$A$1:$I$56</definedName>
    <definedName name="_xlnm.Print_Area" localSheetId="42">'1352'!$A$1:$I$54</definedName>
    <definedName name="_xlnm.Print_Area" localSheetId="43">'1400'!$A$1:$I$56</definedName>
    <definedName name="_xlnm.Print_Area" localSheetId="44">'1450'!$A$1:$I$56</definedName>
    <definedName name="_xlnm.Print_Area" localSheetId="0">'Rekapitulace '!$A$1:$M$123</definedName>
  </definedNames>
  <calcPr calcId="144525"/>
</workbook>
</file>

<file path=xl/calcChain.xml><?xml version="1.0" encoding="utf-8"?>
<calcChain xmlns="http://schemas.openxmlformats.org/spreadsheetml/2006/main">
  <c r="G27" i="23" l="1"/>
  <c r="P21" i="70"/>
  <c r="P20" i="70"/>
  <c r="P14" i="70"/>
  <c r="P9" i="70"/>
  <c r="G49" i="70"/>
  <c r="J25" i="70"/>
  <c r="K25" i="70"/>
  <c r="L25" i="70"/>
  <c r="M25" i="70"/>
  <c r="G50" i="59"/>
  <c r="F50" i="59"/>
  <c r="E50" i="59"/>
  <c r="I50" i="62"/>
  <c r="F50" i="62"/>
  <c r="E50" i="62"/>
  <c r="F49" i="61"/>
  <c r="F51" i="60"/>
  <c r="E50" i="65"/>
  <c r="F50" i="54"/>
  <c r="G50" i="48"/>
  <c r="F50" i="48"/>
  <c r="E50" i="48"/>
  <c r="I51" i="44"/>
  <c r="G51" i="44"/>
  <c r="F51" i="44"/>
  <c r="F49" i="47"/>
  <c r="F50" i="45"/>
  <c r="E50" i="45"/>
  <c r="I36" i="45"/>
  <c r="F50" i="43"/>
  <c r="H50" i="63"/>
  <c r="H51" i="63"/>
  <c r="H49" i="63"/>
  <c r="H48" i="63"/>
  <c r="H50" i="62"/>
  <c r="H49" i="62"/>
  <c r="H50" i="61"/>
  <c r="I50" i="61" s="1"/>
  <c r="H48" i="61"/>
  <c r="H50" i="60"/>
  <c r="H51" i="59"/>
  <c r="H49" i="59"/>
  <c r="H49" i="65"/>
  <c r="H49" i="58"/>
  <c r="H49" i="57"/>
  <c r="H49" i="56"/>
  <c r="H49" i="55"/>
  <c r="H49" i="54"/>
  <c r="H49" i="53"/>
  <c r="H49" i="50"/>
  <c r="H49" i="49"/>
  <c r="H49" i="48"/>
  <c r="H48" i="47"/>
  <c r="H49" i="45"/>
  <c r="H51" i="44"/>
  <c r="H50" i="44"/>
  <c r="H49" i="43"/>
  <c r="I36" i="42"/>
  <c r="G49" i="68"/>
  <c r="F49" i="68"/>
  <c r="E49" i="68"/>
  <c r="I36" i="68"/>
  <c r="G49" i="40"/>
  <c r="F49" i="40"/>
  <c r="H49" i="42"/>
  <c r="H48" i="68"/>
  <c r="H48" i="40"/>
  <c r="H49" i="39"/>
  <c r="G21" i="38"/>
  <c r="F50" i="37"/>
  <c r="E50" i="37"/>
  <c r="F49" i="36"/>
  <c r="E51" i="35"/>
  <c r="G50" i="34"/>
  <c r="F50" i="34"/>
  <c r="G49" i="33"/>
  <c r="F49" i="33"/>
  <c r="E49" i="33"/>
  <c r="G52" i="31"/>
  <c r="F52" i="31"/>
  <c r="G50" i="29"/>
  <c r="F50" i="29"/>
  <c r="E50" i="29"/>
  <c r="I50" i="28"/>
  <c r="F50" i="28"/>
  <c r="I36" i="16"/>
  <c r="G50" i="27"/>
  <c r="G50" i="16"/>
  <c r="F50" i="16"/>
  <c r="E50" i="16"/>
  <c r="F50" i="17"/>
  <c r="E49" i="18"/>
  <c r="G51" i="20"/>
  <c r="H49" i="22"/>
  <c r="H51" i="22"/>
  <c r="H48" i="22"/>
  <c r="F50" i="22"/>
  <c r="H50" i="22" s="1"/>
  <c r="I50" i="22" s="1"/>
  <c r="I51" i="22"/>
  <c r="I48" i="22"/>
  <c r="H48" i="23"/>
  <c r="H47" i="23"/>
  <c r="I47" i="23"/>
  <c r="F49" i="23"/>
  <c r="H48" i="38"/>
  <c r="H49" i="37"/>
  <c r="H48" i="36"/>
  <c r="H50" i="35"/>
  <c r="H49" i="34"/>
  <c r="H50" i="33"/>
  <c r="H48" i="33"/>
  <c r="H51" i="32"/>
  <c r="I51" i="32"/>
  <c r="H49" i="32"/>
  <c r="H53" i="31"/>
  <c r="H51" i="31"/>
  <c r="H50" i="30"/>
  <c r="H49" i="29"/>
  <c r="H50" i="28"/>
  <c r="H49" i="28"/>
  <c r="H49" i="27"/>
  <c r="H50" i="26"/>
  <c r="H50" i="15"/>
  <c r="I50" i="15" s="1"/>
  <c r="H49" i="15"/>
  <c r="H49" i="17"/>
  <c r="H48" i="18"/>
  <c r="H52" i="20"/>
  <c r="I52" i="20"/>
  <c r="H51" i="20"/>
  <c r="H50" i="20"/>
  <c r="I50" i="20" s="1"/>
  <c r="H49" i="20"/>
  <c r="I49" i="20" s="1"/>
  <c r="L15" i="70"/>
  <c r="L51" i="70"/>
  <c r="L9" i="70"/>
  <c r="L33" i="70"/>
  <c r="L35" i="70"/>
  <c r="L69" i="70"/>
  <c r="L89" i="70"/>
  <c r="L87" i="70"/>
  <c r="L61" i="70"/>
  <c r="L75" i="70"/>
  <c r="L11" i="70"/>
  <c r="L17" i="70"/>
  <c r="L19" i="70"/>
  <c r="L21" i="70"/>
  <c r="L23" i="70"/>
  <c r="L27" i="70"/>
  <c r="L29" i="70"/>
  <c r="L31" i="70"/>
  <c r="L41" i="70"/>
  <c r="L45" i="70"/>
  <c r="L47" i="70"/>
  <c r="L53" i="70"/>
  <c r="L55" i="70"/>
  <c r="L57" i="70"/>
  <c r="L59" i="70"/>
  <c r="L63" i="70"/>
  <c r="L65" i="70"/>
  <c r="L67" i="70"/>
  <c r="L71" i="70"/>
  <c r="L73" i="70"/>
  <c r="L77" i="70"/>
  <c r="L79" i="70"/>
  <c r="L81" i="70"/>
  <c r="L83" i="70"/>
  <c r="L91" i="70"/>
  <c r="L93" i="70"/>
  <c r="L95" i="70"/>
  <c r="L97" i="70"/>
  <c r="J33" i="70"/>
  <c r="K33" i="70"/>
  <c r="M33" i="70" s="1"/>
  <c r="L34" i="70" s="1"/>
  <c r="G17" i="35"/>
  <c r="F43" i="70" s="1"/>
  <c r="H43" i="70" s="1"/>
  <c r="G15" i="35"/>
  <c r="E43" i="70" s="1"/>
  <c r="G17" i="27"/>
  <c r="F25" i="70" s="1"/>
  <c r="H25" i="70" s="1"/>
  <c r="G15" i="27"/>
  <c r="E25" i="70" s="1"/>
  <c r="G17" i="32"/>
  <c r="F37" i="70" s="1"/>
  <c r="I37" i="70" s="1"/>
  <c r="G15" i="32"/>
  <c r="E37" i="70" s="1"/>
  <c r="G17" i="63"/>
  <c r="F95" i="70" s="1"/>
  <c r="H95" i="70" s="1"/>
  <c r="G15" i="63"/>
  <c r="E95" i="70" s="1"/>
  <c r="G17" i="62"/>
  <c r="F93" i="70" s="1"/>
  <c r="H93" i="70" s="1"/>
  <c r="G15" i="62"/>
  <c r="E93" i="70" s="1"/>
  <c r="G17" i="61"/>
  <c r="F91" i="70" s="1"/>
  <c r="H91" i="70" s="1"/>
  <c r="G15" i="61"/>
  <c r="E91" i="70" s="1"/>
  <c r="G17" i="60"/>
  <c r="F89" i="70" s="1"/>
  <c r="H89" i="70" s="1"/>
  <c r="G15" i="60"/>
  <c r="E89" i="70" s="1"/>
  <c r="G17" i="59"/>
  <c r="F87" i="70" s="1"/>
  <c r="G15" i="59"/>
  <c r="E87" i="70" s="1"/>
  <c r="G17" i="65"/>
  <c r="F85" i="70" s="1"/>
  <c r="I85" i="70" s="1"/>
  <c r="G15" i="65"/>
  <c r="E85" i="70" s="1"/>
  <c r="G17" i="58"/>
  <c r="F83" i="70" s="1"/>
  <c r="H83" i="70" s="1"/>
  <c r="G15" i="58"/>
  <c r="E83" i="70" s="1"/>
  <c r="G17" i="57"/>
  <c r="F81" i="70" s="1"/>
  <c r="H81" i="70" s="1"/>
  <c r="G15" i="57"/>
  <c r="E81" i="70" s="1"/>
  <c r="G17" i="56"/>
  <c r="F79" i="70" s="1"/>
  <c r="H79" i="70" s="1"/>
  <c r="G15" i="56"/>
  <c r="E79" i="70" s="1"/>
  <c r="G17" i="55"/>
  <c r="F77" i="70" s="1"/>
  <c r="H77" i="70" s="1"/>
  <c r="G15" i="55"/>
  <c r="E77" i="70" s="1"/>
  <c r="G17" i="54"/>
  <c r="F75" i="70" s="1"/>
  <c r="H75" i="70" s="1"/>
  <c r="G15" i="54"/>
  <c r="E75" i="70" s="1"/>
  <c r="G17" i="53"/>
  <c r="F73" i="70" s="1"/>
  <c r="H73" i="70" s="1"/>
  <c r="G15" i="53"/>
  <c r="E73" i="70" s="1"/>
  <c r="G17" i="50"/>
  <c r="F71" i="70" s="1"/>
  <c r="H71" i="70" s="1"/>
  <c r="G15" i="50"/>
  <c r="E71" i="70" s="1"/>
  <c r="G17" i="49"/>
  <c r="F69" i="70" s="1"/>
  <c r="H69" i="70" s="1"/>
  <c r="G15" i="49"/>
  <c r="E69" i="70" s="1"/>
  <c r="G17" i="48"/>
  <c r="F67" i="70" s="1"/>
  <c r="G15" i="48"/>
  <c r="E67" i="70" s="1"/>
  <c r="G21" i="48"/>
  <c r="G67" i="70" s="1"/>
  <c r="G17" i="47"/>
  <c r="F65" i="70" s="1"/>
  <c r="G15" i="47"/>
  <c r="E65" i="70" s="1"/>
  <c r="G21" i="47"/>
  <c r="G65" i="70" s="1"/>
  <c r="G17" i="45"/>
  <c r="F63" i="70" s="1"/>
  <c r="H63" i="70" s="1"/>
  <c r="G15" i="45"/>
  <c r="E63" i="70" s="1"/>
  <c r="G17" i="44"/>
  <c r="F61" i="70" s="1"/>
  <c r="G15" i="44"/>
  <c r="E61" i="70" s="1"/>
  <c r="G17" i="43"/>
  <c r="F59" i="70" s="1"/>
  <c r="G15" i="43"/>
  <c r="E59" i="70" s="1"/>
  <c r="G21" i="43"/>
  <c r="G59" i="70" s="1"/>
  <c r="G17" i="42"/>
  <c r="F57" i="70" s="1"/>
  <c r="G15" i="42"/>
  <c r="E57" i="70" s="1"/>
  <c r="G17" i="68"/>
  <c r="F55" i="70" s="1"/>
  <c r="G15" i="68"/>
  <c r="E55" i="70" s="1"/>
  <c r="G17" i="40"/>
  <c r="F53" i="70" s="1"/>
  <c r="G15" i="40"/>
  <c r="E53" i="70" s="1"/>
  <c r="G18" i="39"/>
  <c r="F51" i="70" s="1"/>
  <c r="G16" i="39"/>
  <c r="E51" i="70" s="1"/>
  <c r="G17" i="38"/>
  <c r="F49" i="70" s="1"/>
  <c r="G15" i="38"/>
  <c r="E49" i="70" s="1"/>
  <c r="G17" i="37"/>
  <c r="F47" i="70" s="1"/>
  <c r="H47" i="70" s="1"/>
  <c r="G15" i="37"/>
  <c r="E47" i="70" s="1"/>
  <c r="G17" i="36"/>
  <c r="F45" i="70" s="1"/>
  <c r="H45" i="70" s="1"/>
  <c r="G15" i="36"/>
  <c r="E45" i="70" s="1"/>
  <c r="G17" i="34"/>
  <c r="F41" i="70" s="1"/>
  <c r="H41" i="70" s="1"/>
  <c r="G15" i="34"/>
  <c r="E41" i="70" s="1"/>
  <c r="G17" i="33"/>
  <c r="F39" i="70" s="1"/>
  <c r="I39" i="70" s="1"/>
  <c r="G15" i="33"/>
  <c r="E39" i="70" s="1"/>
  <c r="G17" i="31"/>
  <c r="F35" i="70" s="1"/>
  <c r="H35" i="70" s="1"/>
  <c r="G15" i="31"/>
  <c r="E35" i="70" s="1"/>
  <c r="G17" i="30"/>
  <c r="F33" i="70" s="1"/>
  <c r="H33" i="70" s="1"/>
  <c r="G15" i="30"/>
  <c r="E33" i="70" s="1"/>
  <c r="G17" i="29"/>
  <c r="F31" i="70" s="1"/>
  <c r="G15" i="29"/>
  <c r="E31" i="70" s="1"/>
  <c r="G17" i="66"/>
  <c r="F29" i="70" s="1"/>
  <c r="H29" i="70" s="1"/>
  <c r="G15" i="66"/>
  <c r="E29" i="70" s="1"/>
  <c r="G17" i="28"/>
  <c r="F27" i="70" s="1"/>
  <c r="H27" i="70" s="1"/>
  <c r="G15" i="28"/>
  <c r="E27" i="70" s="1"/>
  <c r="G17" i="26"/>
  <c r="F23" i="70" s="1"/>
  <c r="H23" i="70" s="1"/>
  <c r="G15" i="26"/>
  <c r="E23" i="70" s="1"/>
  <c r="G17" i="15"/>
  <c r="F21" i="70" s="1"/>
  <c r="H21" i="70" s="1"/>
  <c r="G15" i="15"/>
  <c r="E21" i="70" s="1"/>
  <c r="G17" i="16"/>
  <c r="F19" i="70" s="1"/>
  <c r="H19" i="70" s="1"/>
  <c r="G15" i="16"/>
  <c r="E19" i="70" s="1"/>
  <c r="G17" i="17"/>
  <c r="F17" i="70" s="1"/>
  <c r="H17" i="70" s="1"/>
  <c r="G15" i="17"/>
  <c r="E17" i="70" s="1"/>
  <c r="G17" i="18"/>
  <c r="F15" i="70" s="1"/>
  <c r="H15" i="70" s="1"/>
  <c r="G15" i="18"/>
  <c r="E15" i="70" s="1"/>
  <c r="G17" i="20"/>
  <c r="F13" i="70" s="1"/>
  <c r="H13" i="70" s="1"/>
  <c r="G15" i="20"/>
  <c r="E13" i="70" s="1"/>
  <c r="G17" i="22"/>
  <c r="F11" i="70" s="1"/>
  <c r="H11" i="70" s="1"/>
  <c r="G15" i="22"/>
  <c r="E11" i="70" s="1"/>
  <c r="G15" i="23"/>
  <c r="E9" i="70" s="1"/>
  <c r="E97" i="70" s="1"/>
  <c r="G17" i="23"/>
  <c r="F9" i="70" s="1"/>
  <c r="K91" i="70"/>
  <c r="J91" i="70"/>
  <c r="M91" i="70" s="1"/>
  <c r="K92" i="70" s="1"/>
  <c r="J85" i="70"/>
  <c r="K85" i="70"/>
  <c r="M85" i="70"/>
  <c r="J81" i="70"/>
  <c r="K81" i="70"/>
  <c r="M81" i="70" s="1"/>
  <c r="J82" i="70" s="1"/>
  <c r="K45" i="70"/>
  <c r="J45" i="70"/>
  <c r="M45" i="70" s="1"/>
  <c r="K47" i="70"/>
  <c r="J47" i="70"/>
  <c r="M47" i="70"/>
  <c r="K67" i="70"/>
  <c r="J67" i="70"/>
  <c r="M67" i="70" s="1"/>
  <c r="K77" i="70"/>
  <c r="J77" i="70"/>
  <c r="M77" i="70"/>
  <c r="K95" i="70"/>
  <c r="J95" i="70"/>
  <c r="M95" i="70" s="1"/>
  <c r="K51" i="70"/>
  <c r="J51" i="70"/>
  <c r="M51" i="70"/>
  <c r="K59" i="70"/>
  <c r="J59" i="70"/>
  <c r="M59" i="70" s="1"/>
  <c r="J15" i="70"/>
  <c r="K15" i="70"/>
  <c r="M15" i="70"/>
  <c r="J9" i="70"/>
  <c r="K9" i="70"/>
  <c r="M9" i="70" s="1"/>
  <c r="J39" i="70"/>
  <c r="K39" i="70"/>
  <c r="M39" i="70"/>
  <c r="J11" i="70"/>
  <c r="K11" i="70"/>
  <c r="M11" i="70" s="1"/>
  <c r="J13" i="70"/>
  <c r="K13" i="70"/>
  <c r="M13" i="70"/>
  <c r="J17" i="70"/>
  <c r="K17" i="70"/>
  <c r="M17" i="70" s="1"/>
  <c r="J19" i="70"/>
  <c r="K19" i="70"/>
  <c r="M19" i="70"/>
  <c r="J21" i="70"/>
  <c r="K21" i="70"/>
  <c r="M21" i="70" s="1"/>
  <c r="J23" i="70"/>
  <c r="K23" i="70"/>
  <c r="M23" i="70"/>
  <c r="J27" i="70"/>
  <c r="K27" i="70"/>
  <c r="M27" i="70" s="1"/>
  <c r="J31" i="70"/>
  <c r="K31" i="70"/>
  <c r="M31" i="70"/>
  <c r="J35" i="70"/>
  <c r="K35" i="70"/>
  <c r="M35" i="70" s="1"/>
  <c r="K41" i="70"/>
  <c r="J41" i="70"/>
  <c r="M41" i="70"/>
  <c r="J43" i="70"/>
  <c r="K43" i="70"/>
  <c r="M43" i="70" s="1"/>
  <c r="J49" i="70"/>
  <c r="K49" i="70"/>
  <c r="M49" i="70"/>
  <c r="J53" i="70"/>
  <c r="K53" i="70"/>
  <c r="M53" i="70" s="1"/>
  <c r="J54" i="70" s="1"/>
  <c r="J55" i="70"/>
  <c r="K55" i="70"/>
  <c r="M55" i="70"/>
  <c r="J57" i="70"/>
  <c r="K57" i="70"/>
  <c r="M57" i="70" s="1"/>
  <c r="J61" i="70"/>
  <c r="K61" i="70"/>
  <c r="M61" i="70"/>
  <c r="J63" i="70"/>
  <c r="K63" i="70"/>
  <c r="M63" i="70" s="1"/>
  <c r="J65" i="70"/>
  <c r="K65" i="70"/>
  <c r="M65" i="70"/>
  <c r="J71" i="70"/>
  <c r="K71" i="70"/>
  <c r="M71" i="70" s="1"/>
  <c r="J73" i="70"/>
  <c r="K73" i="70"/>
  <c r="M73" i="70"/>
  <c r="J75" i="70"/>
  <c r="K75" i="70"/>
  <c r="M75" i="70" s="1"/>
  <c r="J79" i="70"/>
  <c r="K79" i="70"/>
  <c r="M79" i="70"/>
  <c r="J83" i="70"/>
  <c r="K83" i="70"/>
  <c r="M83" i="70" s="1"/>
  <c r="J87" i="70"/>
  <c r="K87" i="70"/>
  <c r="M87" i="70"/>
  <c r="J89" i="70"/>
  <c r="K89" i="70"/>
  <c r="M89" i="70" s="1"/>
  <c r="J93" i="70"/>
  <c r="K93" i="70"/>
  <c r="M93" i="70"/>
  <c r="J69" i="70"/>
  <c r="K69" i="70"/>
  <c r="M69" i="70" s="1"/>
  <c r="J29" i="70"/>
  <c r="J97" i="70" s="1"/>
  <c r="K29" i="70"/>
  <c r="M29" i="70"/>
  <c r="K37" i="70"/>
  <c r="K97" i="70" s="1"/>
  <c r="J37" i="70"/>
  <c r="I52" i="63"/>
  <c r="H52" i="63"/>
  <c r="F52" i="63"/>
  <c r="G52" i="63"/>
  <c r="E52" i="63"/>
  <c r="G21" i="63"/>
  <c r="G23" i="63"/>
  <c r="H23" i="63"/>
  <c r="I23" i="63"/>
  <c r="I39" i="63"/>
  <c r="I37" i="63"/>
  <c r="G27" i="63"/>
  <c r="H51" i="62"/>
  <c r="I51" i="62" s="1"/>
  <c r="I52" i="62" s="1"/>
  <c r="H48" i="62"/>
  <c r="H52" i="62"/>
  <c r="G52" i="62"/>
  <c r="F52" i="62"/>
  <c r="E52" i="62"/>
  <c r="H23" i="62"/>
  <c r="I23" i="62"/>
  <c r="I39" i="62"/>
  <c r="G27" i="62"/>
  <c r="H47" i="61"/>
  <c r="I47" i="61"/>
  <c r="I51" i="61" s="1"/>
  <c r="H49" i="61"/>
  <c r="I49" i="61"/>
  <c r="H51" i="61"/>
  <c r="G51" i="61"/>
  <c r="F51" i="61"/>
  <c r="E51" i="61"/>
  <c r="I35" i="61"/>
  <c r="H23" i="61"/>
  <c r="I23" i="61"/>
  <c r="I38" i="61"/>
  <c r="I36" i="61"/>
  <c r="G27" i="61"/>
  <c r="H49" i="60"/>
  <c r="I49" i="60"/>
  <c r="H51" i="60"/>
  <c r="I51" i="60"/>
  <c r="H52" i="60"/>
  <c r="I53" i="60"/>
  <c r="H53" i="60"/>
  <c r="G53" i="60"/>
  <c r="F53" i="60"/>
  <c r="E53" i="60"/>
  <c r="I36" i="60"/>
  <c r="G21" i="60"/>
  <c r="G23" i="60" s="1"/>
  <c r="H23" i="60"/>
  <c r="I23" i="60"/>
  <c r="I39" i="60"/>
  <c r="I37" i="60"/>
  <c r="G27" i="60"/>
  <c r="H48" i="59"/>
  <c r="I48" i="59"/>
  <c r="I52" i="59" s="1"/>
  <c r="H50" i="59"/>
  <c r="I50" i="59"/>
  <c r="H52" i="59"/>
  <c r="G52" i="59"/>
  <c r="F52" i="59"/>
  <c r="E52" i="59"/>
  <c r="I39" i="59"/>
  <c r="I36" i="59"/>
  <c r="I37" i="59"/>
  <c r="H23" i="59"/>
  <c r="I23" i="59"/>
  <c r="G27" i="59"/>
  <c r="H48" i="65"/>
  <c r="I48" i="65"/>
  <c r="I52" i="65" s="1"/>
  <c r="H50" i="65"/>
  <c r="I50" i="65"/>
  <c r="H51" i="65"/>
  <c r="I51" i="65"/>
  <c r="H52" i="65"/>
  <c r="G52" i="65"/>
  <c r="F52" i="65"/>
  <c r="E52" i="65"/>
  <c r="H23" i="65"/>
  <c r="I23" i="65"/>
  <c r="I40" i="65"/>
  <c r="I38" i="65"/>
  <c r="G27" i="65"/>
  <c r="H48" i="58"/>
  <c r="I48" i="58" s="1"/>
  <c r="H50" i="58"/>
  <c r="I50" i="58" s="1"/>
  <c r="H51" i="58"/>
  <c r="I51" i="58" s="1"/>
  <c r="G52" i="58"/>
  <c r="F52" i="58"/>
  <c r="E52" i="58"/>
  <c r="H23" i="58"/>
  <c r="I23" i="58"/>
  <c r="I37" i="58"/>
  <c r="I39" i="58"/>
  <c r="G27" i="58"/>
  <c r="H48" i="57"/>
  <c r="I48" i="57"/>
  <c r="I52" i="57" s="1"/>
  <c r="H50" i="57"/>
  <c r="I50" i="57"/>
  <c r="H51" i="57"/>
  <c r="I51" i="57"/>
  <c r="H52" i="57"/>
  <c r="G52" i="57"/>
  <c r="F52" i="57"/>
  <c r="E52" i="57"/>
  <c r="H23" i="57"/>
  <c r="I23" i="57"/>
  <c r="I39" i="57"/>
  <c r="I37" i="57"/>
  <c r="G27" i="57"/>
  <c r="H48" i="56"/>
  <c r="I48" i="56" s="1"/>
  <c r="H50" i="56"/>
  <c r="I50" i="56" s="1"/>
  <c r="H51" i="56"/>
  <c r="I51" i="56" s="1"/>
  <c r="G52" i="56"/>
  <c r="F52" i="56"/>
  <c r="E52" i="56"/>
  <c r="I23" i="56"/>
  <c r="H23" i="56"/>
  <c r="G21" i="56"/>
  <c r="G23" i="56"/>
  <c r="I39" i="56"/>
  <c r="I37" i="56"/>
  <c r="G27" i="56"/>
  <c r="H48" i="55"/>
  <c r="I48" i="55" s="1"/>
  <c r="H50" i="55"/>
  <c r="I50" i="55" s="1"/>
  <c r="H51" i="55"/>
  <c r="I51" i="55" s="1"/>
  <c r="G52" i="55"/>
  <c r="F52" i="55"/>
  <c r="E52" i="55"/>
  <c r="G27" i="55"/>
  <c r="H23" i="55"/>
  <c r="I23" i="55"/>
  <c r="I39" i="55"/>
  <c r="I37" i="55"/>
  <c r="H48" i="54"/>
  <c r="I48" i="54"/>
  <c r="I52" i="54" s="1"/>
  <c r="H50" i="54"/>
  <c r="I50" i="54"/>
  <c r="H51" i="54"/>
  <c r="I51" i="54"/>
  <c r="H52" i="54"/>
  <c r="G52" i="54"/>
  <c r="F52" i="54"/>
  <c r="E52" i="54"/>
  <c r="I39" i="54"/>
  <c r="I23" i="54"/>
  <c r="H23" i="54"/>
  <c r="I37" i="54"/>
  <c r="G27" i="54"/>
  <c r="H48" i="53"/>
  <c r="I48" i="53" s="1"/>
  <c r="H50" i="53"/>
  <c r="I50" i="53" s="1"/>
  <c r="H51" i="53"/>
  <c r="I51" i="53" s="1"/>
  <c r="G52" i="53"/>
  <c r="F52" i="53"/>
  <c r="E52" i="53"/>
  <c r="H23" i="53"/>
  <c r="I23" i="53"/>
  <c r="I39" i="53"/>
  <c r="I36" i="53"/>
  <c r="I37" i="53"/>
  <c r="G27" i="53"/>
  <c r="H48" i="50"/>
  <c r="I48" i="50" s="1"/>
  <c r="H50" i="50"/>
  <c r="I50" i="50" s="1"/>
  <c r="H51" i="50"/>
  <c r="I51" i="50" s="1"/>
  <c r="G52" i="50"/>
  <c r="F52" i="50"/>
  <c r="E52" i="50"/>
  <c r="I36" i="50"/>
  <c r="H23" i="50"/>
  <c r="I23" i="50"/>
  <c r="I37" i="50"/>
  <c r="I39" i="50"/>
  <c r="G27" i="50"/>
  <c r="H48" i="49"/>
  <c r="I48" i="49" s="1"/>
  <c r="H50" i="49"/>
  <c r="I50" i="49" s="1"/>
  <c r="H51" i="49"/>
  <c r="I51" i="49" s="1"/>
  <c r="G52" i="49"/>
  <c r="F52" i="49"/>
  <c r="E52" i="49"/>
  <c r="I36" i="49"/>
  <c r="H23" i="49"/>
  <c r="I23" i="49"/>
  <c r="I39" i="49"/>
  <c r="I37" i="49"/>
  <c r="G27" i="49"/>
  <c r="H48" i="48"/>
  <c r="I48" i="48" s="1"/>
  <c r="H50" i="48"/>
  <c r="I50" i="48" s="1"/>
  <c r="H51" i="48"/>
  <c r="I51" i="48" s="1"/>
  <c r="G52" i="48"/>
  <c r="F52" i="48"/>
  <c r="E52" i="48"/>
  <c r="I36" i="48"/>
  <c r="G23" i="48"/>
  <c r="I23" i="48"/>
  <c r="H23" i="48"/>
  <c r="I39" i="48"/>
  <c r="I37" i="48"/>
  <c r="G27" i="48"/>
  <c r="H47" i="47"/>
  <c r="I47" i="47" s="1"/>
  <c r="H49" i="47"/>
  <c r="I49" i="47" s="1"/>
  <c r="H50" i="47"/>
  <c r="I50" i="47" s="1"/>
  <c r="G51" i="47"/>
  <c r="F51" i="47"/>
  <c r="E51" i="47"/>
  <c r="I36" i="47"/>
  <c r="G23" i="47"/>
  <c r="H23" i="47"/>
  <c r="I23" i="47"/>
  <c r="I37" i="47"/>
  <c r="I39" i="47"/>
  <c r="G27" i="47"/>
  <c r="H48" i="45"/>
  <c r="I48" i="45" s="1"/>
  <c r="H50" i="45"/>
  <c r="I50" i="45" s="1"/>
  <c r="H51" i="45"/>
  <c r="I51" i="45" s="1"/>
  <c r="G52" i="45"/>
  <c r="F52" i="45"/>
  <c r="E52" i="45"/>
  <c r="H23" i="45"/>
  <c r="I23" i="45"/>
  <c r="I37" i="45"/>
  <c r="I39" i="45"/>
  <c r="G27" i="45"/>
  <c r="H49" i="44"/>
  <c r="I49" i="44"/>
  <c r="I53" i="44" s="1"/>
  <c r="H52" i="44"/>
  <c r="I52" i="44"/>
  <c r="H53" i="44"/>
  <c r="G53" i="44"/>
  <c r="F53" i="44"/>
  <c r="E53" i="44"/>
  <c r="H23" i="44"/>
  <c r="I23" i="44"/>
  <c r="I39" i="44"/>
  <c r="I37" i="44"/>
  <c r="G27" i="44"/>
  <c r="H48" i="43"/>
  <c r="H50" i="43"/>
  <c r="I50" i="43" s="1"/>
  <c r="H51" i="43"/>
  <c r="I51" i="43" s="1"/>
  <c r="G52" i="43"/>
  <c r="F52" i="43"/>
  <c r="E52" i="43"/>
  <c r="I36" i="43"/>
  <c r="G23" i="43"/>
  <c r="I23" i="43"/>
  <c r="H23" i="43"/>
  <c r="I39" i="43"/>
  <c r="I37" i="43"/>
  <c r="G27" i="43"/>
  <c r="H48" i="42"/>
  <c r="I48" i="42" s="1"/>
  <c r="I52" i="42" s="1"/>
  <c r="H50" i="42"/>
  <c r="I50" i="42" s="1"/>
  <c r="H51" i="42"/>
  <c r="I51" i="42" s="1"/>
  <c r="G52" i="42"/>
  <c r="F52" i="42"/>
  <c r="E52" i="42"/>
  <c r="H23" i="42"/>
  <c r="I23" i="42"/>
  <c r="I37" i="42"/>
  <c r="I39" i="42"/>
  <c r="G27" i="42"/>
  <c r="K54" i="70"/>
  <c r="M54" i="70"/>
  <c r="H47" i="68"/>
  <c r="I47" i="68"/>
  <c r="I51" i="68" s="1"/>
  <c r="H49" i="68"/>
  <c r="I49" i="68"/>
  <c r="H50" i="68"/>
  <c r="I50" i="68"/>
  <c r="H51" i="68"/>
  <c r="G51" i="68"/>
  <c r="F51" i="68"/>
  <c r="E51" i="68"/>
  <c r="H23" i="68"/>
  <c r="I23" i="68"/>
  <c r="I37" i="68"/>
  <c r="I39" i="68"/>
  <c r="G27" i="68"/>
  <c r="H49" i="40"/>
  <c r="I49" i="40" s="1"/>
  <c r="I51" i="40" s="1"/>
  <c r="H50" i="40"/>
  <c r="I50" i="40" s="1"/>
  <c r="H47" i="40"/>
  <c r="H51" i="40"/>
  <c r="E51" i="40"/>
  <c r="G51" i="40"/>
  <c r="F51" i="40"/>
  <c r="H23" i="40"/>
  <c r="I23" i="40"/>
  <c r="I37" i="40"/>
  <c r="I39" i="40"/>
  <c r="G27" i="40"/>
  <c r="H48" i="39"/>
  <c r="I48" i="39" s="1"/>
  <c r="H50" i="39"/>
  <c r="I50" i="39" s="1"/>
  <c r="H51" i="39"/>
  <c r="I51" i="39" s="1"/>
  <c r="G52" i="39"/>
  <c r="F52" i="39"/>
  <c r="E52" i="39"/>
  <c r="I37" i="39"/>
  <c r="H24" i="39"/>
  <c r="I24" i="39"/>
  <c r="G28" i="39"/>
  <c r="M50" i="70"/>
  <c r="H49" i="38"/>
  <c r="H50" i="38"/>
  <c r="I50" i="38" s="1"/>
  <c r="I51" i="38" s="1"/>
  <c r="H47" i="38"/>
  <c r="H51" i="38"/>
  <c r="G51" i="38"/>
  <c r="F51" i="38"/>
  <c r="E51" i="38"/>
  <c r="I36" i="38"/>
  <c r="G23" i="38"/>
  <c r="H23" i="38"/>
  <c r="I23" i="38"/>
  <c r="I39" i="38"/>
  <c r="I37" i="38"/>
  <c r="G27" i="38"/>
  <c r="H48" i="37"/>
  <c r="I48" i="37"/>
  <c r="I52" i="37" s="1"/>
  <c r="H50" i="37"/>
  <c r="I50" i="37"/>
  <c r="H51" i="37"/>
  <c r="I51" i="37"/>
  <c r="H52" i="37"/>
  <c r="G52" i="37"/>
  <c r="F52" i="37"/>
  <c r="E52" i="37"/>
  <c r="I23" i="37"/>
  <c r="H23" i="37"/>
  <c r="I39" i="37"/>
  <c r="I37" i="37"/>
  <c r="G27" i="37"/>
  <c r="H47" i="36"/>
  <c r="I47" i="36" s="1"/>
  <c r="H49" i="36"/>
  <c r="I49" i="36" s="1"/>
  <c r="H50" i="36"/>
  <c r="I50" i="36" s="1"/>
  <c r="G51" i="36"/>
  <c r="F51" i="36"/>
  <c r="E51" i="36"/>
  <c r="H23" i="36"/>
  <c r="I23" i="36"/>
  <c r="I39" i="36"/>
  <c r="I37" i="36"/>
  <c r="G27" i="36"/>
  <c r="H51" i="35"/>
  <c r="I51" i="35"/>
  <c r="H52" i="35"/>
  <c r="I53" i="35"/>
  <c r="H49" i="35"/>
  <c r="I49" i="35" s="1"/>
  <c r="H53" i="35"/>
  <c r="E53" i="35"/>
  <c r="G53" i="35"/>
  <c r="F53" i="35"/>
  <c r="H23" i="35"/>
  <c r="I23" i="35"/>
  <c r="I40" i="35"/>
  <c r="I38" i="35"/>
  <c r="G27" i="35"/>
  <c r="M14" i="70"/>
  <c r="J34" i="70"/>
  <c r="K34" i="70"/>
  <c r="M34" i="70" s="1"/>
  <c r="J36" i="70"/>
  <c r="M36" i="70" s="1"/>
  <c r="K36" i="70"/>
  <c r="L36" i="70"/>
  <c r="H48" i="34"/>
  <c r="I48" i="34" s="1"/>
  <c r="H50" i="34"/>
  <c r="I50" i="34" s="1"/>
  <c r="H51" i="34"/>
  <c r="I51" i="34" s="1"/>
  <c r="G52" i="34"/>
  <c r="F52" i="34"/>
  <c r="E52" i="34"/>
  <c r="H52" i="34"/>
  <c r="H23" i="34"/>
  <c r="I39" i="34"/>
  <c r="I37" i="34"/>
  <c r="G27" i="34"/>
  <c r="H47" i="33"/>
  <c r="I47" i="33" s="1"/>
  <c r="I51" i="33" s="1"/>
  <c r="H49" i="33"/>
  <c r="I49" i="33" s="1"/>
  <c r="G51" i="33"/>
  <c r="F51" i="33"/>
  <c r="E51" i="33"/>
  <c r="I39" i="33"/>
  <c r="I37" i="33"/>
  <c r="G27" i="33"/>
  <c r="I23" i="33"/>
  <c r="H23" i="33"/>
  <c r="G21" i="33"/>
  <c r="G23" i="33"/>
  <c r="G52" i="32"/>
  <c r="F52" i="32"/>
  <c r="E52" i="32"/>
  <c r="H48" i="32"/>
  <c r="I48" i="32" s="1"/>
  <c r="H50" i="32"/>
  <c r="I50" i="32" s="1"/>
  <c r="I36" i="32"/>
  <c r="G27" i="32"/>
  <c r="H23" i="32"/>
  <c r="I23" i="32"/>
  <c r="I39" i="32"/>
  <c r="I37" i="32"/>
  <c r="I54" i="31"/>
  <c r="H50" i="31"/>
  <c r="H52" i="31"/>
  <c r="H54" i="31"/>
  <c r="G54" i="31"/>
  <c r="F54" i="31"/>
  <c r="E54" i="31"/>
  <c r="I36" i="31"/>
  <c r="I23" i="31"/>
  <c r="H23" i="31"/>
  <c r="G21" i="31"/>
  <c r="G23" i="31"/>
  <c r="I39" i="31"/>
  <c r="I37" i="31"/>
  <c r="G27" i="31"/>
  <c r="H49" i="30"/>
  <c r="I49" i="30" s="1"/>
  <c r="H51" i="30"/>
  <c r="I51" i="30" s="1"/>
  <c r="H52" i="30"/>
  <c r="I52" i="30" s="1"/>
  <c r="G53" i="30"/>
  <c r="F53" i="30"/>
  <c r="E53" i="30"/>
  <c r="G27" i="30"/>
  <c r="I23" i="30"/>
  <c r="H23" i="30"/>
  <c r="I40" i="30"/>
  <c r="I38" i="30"/>
  <c r="G52" i="29"/>
  <c r="F52" i="29"/>
  <c r="E52" i="29"/>
  <c r="H48" i="29"/>
  <c r="I48" i="29" s="1"/>
  <c r="I52" i="29" s="1"/>
  <c r="H50" i="29"/>
  <c r="H51" i="29"/>
  <c r="I51" i="29"/>
  <c r="H52" i="29"/>
  <c r="I36" i="29"/>
  <c r="I23" i="29"/>
  <c r="H23" i="29"/>
  <c r="I39" i="29"/>
  <c r="I37" i="29"/>
  <c r="G27" i="29"/>
  <c r="H47" i="66"/>
  <c r="I47" i="66" s="1"/>
  <c r="H48" i="66"/>
  <c r="I48" i="66" s="1"/>
  <c r="H49" i="66"/>
  <c r="I49" i="66" s="1"/>
  <c r="H50" i="66"/>
  <c r="I50" i="66" s="1"/>
  <c r="G51" i="66"/>
  <c r="F51" i="66"/>
  <c r="E51" i="66"/>
  <c r="I39" i="66"/>
  <c r="I37" i="66"/>
  <c r="H48" i="28"/>
  <c r="I48" i="28"/>
  <c r="I52" i="28" s="1"/>
  <c r="H51" i="28"/>
  <c r="I51" i="28"/>
  <c r="G52" i="28"/>
  <c r="F52" i="28"/>
  <c r="E52" i="28"/>
  <c r="H52" i="28"/>
  <c r="I39" i="28"/>
  <c r="H23" i="28"/>
  <c r="I37" i="28"/>
  <c r="G27" i="28"/>
  <c r="G52" i="27"/>
  <c r="F52" i="27"/>
  <c r="E52" i="27"/>
  <c r="H48" i="27"/>
  <c r="I48" i="27" s="1"/>
  <c r="H50" i="27"/>
  <c r="I50" i="27" s="1"/>
  <c r="H51" i="27"/>
  <c r="I51" i="27" s="1"/>
  <c r="G27" i="27"/>
  <c r="H23" i="27"/>
  <c r="I23" i="27"/>
  <c r="I37" i="27"/>
  <c r="G53" i="26"/>
  <c r="F53" i="26"/>
  <c r="E53" i="26"/>
  <c r="H49" i="26"/>
  <c r="I49" i="26"/>
  <c r="I53" i="26" s="1"/>
  <c r="H51" i="26"/>
  <c r="I51" i="26"/>
  <c r="H52" i="26"/>
  <c r="I52" i="26"/>
  <c r="H53" i="26"/>
  <c r="H23" i="26"/>
  <c r="I23" i="26"/>
  <c r="I40" i="26"/>
  <c r="I38" i="26"/>
  <c r="G29" i="26"/>
  <c r="H48" i="15"/>
  <c r="H51" i="15"/>
  <c r="H52" i="15" s="1"/>
  <c r="F52" i="15"/>
  <c r="I48" i="15"/>
  <c r="I51" i="15"/>
  <c r="I52" i="15" s="1"/>
  <c r="G52" i="15"/>
  <c r="E52" i="15"/>
  <c r="I36" i="15"/>
  <c r="H23" i="15"/>
  <c r="I23" i="15"/>
  <c r="I37" i="15"/>
  <c r="I39" i="15"/>
  <c r="G27" i="15"/>
  <c r="G52" i="16"/>
  <c r="F52" i="16"/>
  <c r="E52" i="16"/>
  <c r="H48" i="16"/>
  <c r="I48" i="16" s="1"/>
  <c r="H49" i="16"/>
  <c r="I49" i="16" s="1"/>
  <c r="H50" i="16"/>
  <c r="I50" i="16" s="1"/>
  <c r="H51" i="16"/>
  <c r="I51" i="16" s="1"/>
  <c r="H23" i="16"/>
  <c r="I23" i="16"/>
  <c r="I39" i="16"/>
  <c r="I37" i="16"/>
  <c r="G27" i="16"/>
  <c r="H48" i="17"/>
  <c r="I48" i="17" s="1"/>
  <c r="H50" i="17"/>
  <c r="I50" i="17" s="1"/>
  <c r="H51" i="17"/>
  <c r="I51" i="17" s="1"/>
  <c r="G52" i="17"/>
  <c r="F52" i="17"/>
  <c r="E52" i="17"/>
  <c r="I23" i="17"/>
  <c r="H23" i="17"/>
  <c r="I37" i="17"/>
  <c r="G27" i="17"/>
  <c r="H47" i="18"/>
  <c r="I47" i="18" s="1"/>
  <c r="H49" i="18"/>
  <c r="I49" i="18" s="1"/>
  <c r="H50" i="18"/>
  <c r="I50" i="18" s="1"/>
  <c r="G51" i="18"/>
  <c r="F51" i="18"/>
  <c r="E51" i="18"/>
  <c r="H51" i="18"/>
  <c r="I39" i="18"/>
  <c r="G21" i="18"/>
  <c r="G23" i="18" s="1"/>
  <c r="H23" i="18"/>
  <c r="I23" i="18"/>
  <c r="I37" i="18"/>
  <c r="G27" i="18"/>
  <c r="H53" i="20"/>
  <c r="G53" i="20"/>
  <c r="F53" i="20"/>
  <c r="E53" i="20"/>
  <c r="I53" i="20"/>
  <c r="I40" i="20"/>
  <c r="I23" i="20"/>
  <c r="H23" i="20"/>
  <c r="I38" i="20"/>
  <c r="G27" i="20"/>
  <c r="I52" i="22"/>
  <c r="H52" i="22"/>
  <c r="G52" i="22"/>
  <c r="E52" i="22"/>
  <c r="F52" i="22"/>
  <c r="I23" i="22"/>
  <c r="H23" i="22"/>
  <c r="I39" i="22"/>
  <c r="G27" i="22"/>
  <c r="G51" i="23"/>
  <c r="F51" i="23"/>
  <c r="E51" i="23"/>
  <c r="H49" i="23"/>
  <c r="I49" i="23" s="1"/>
  <c r="I51" i="23" s="1"/>
  <c r="H50" i="23"/>
  <c r="I50" i="23" s="1"/>
  <c r="I36" i="23"/>
  <c r="I23" i="23"/>
  <c r="H23" i="23"/>
  <c r="G21" i="23"/>
  <c r="G23" i="23"/>
  <c r="G21" i="32"/>
  <c r="G23" i="32" s="1"/>
  <c r="I37" i="62"/>
  <c r="G21" i="59"/>
  <c r="I36" i="44"/>
  <c r="G22" i="39"/>
  <c r="G51" i="70" s="1"/>
  <c r="I23" i="34"/>
  <c r="I39" i="27"/>
  <c r="I39" i="17"/>
  <c r="I37" i="22"/>
  <c r="J12" i="70"/>
  <c r="K12" i="70"/>
  <c r="M12" i="70"/>
  <c r="G21" i="44"/>
  <c r="G21" i="29"/>
  <c r="G31" i="70" s="1"/>
  <c r="K94" i="70"/>
  <c r="J94" i="70"/>
  <c r="M94" i="70" s="1"/>
  <c r="M86" i="70"/>
  <c r="K84" i="70"/>
  <c r="J84" i="70"/>
  <c r="M78" i="70"/>
  <c r="G27" i="66"/>
  <c r="G21" i="62"/>
  <c r="G23" i="62" s="1"/>
  <c r="G21" i="61"/>
  <c r="G23" i="61" s="1"/>
  <c r="G21" i="65"/>
  <c r="G23" i="65" s="1"/>
  <c r="G21" i="58"/>
  <c r="G23" i="58" s="1"/>
  <c r="G21" i="57"/>
  <c r="G23" i="57" s="1"/>
  <c r="G21" i="55"/>
  <c r="G23" i="55" s="1"/>
  <c r="G21" i="54"/>
  <c r="G23" i="54" s="1"/>
  <c r="G21" i="53"/>
  <c r="G23" i="53" s="1"/>
  <c r="G21" i="50"/>
  <c r="G23" i="50" s="1"/>
  <c r="G21" i="49"/>
  <c r="G23" i="49" s="1"/>
  <c r="G21" i="45"/>
  <c r="G23" i="45" s="1"/>
  <c r="G21" i="42"/>
  <c r="G23" i="42" s="1"/>
  <c r="G21" i="68"/>
  <c r="G23" i="68" s="1"/>
  <c r="G21" i="40"/>
  <c r="G23" i="40" s="1"/>
  <c r="G21" i="37"/>
  <c r="G23" i="37" s="1"/>
  <c r="G21" i="36"/>
  <c r="G23" i="36" s="1"/>
  <c r="G21" i="35"/>
  <c r="G23" i="35" s="1"/>
  <c r="G21" i="34"/>
  <c r="G23" i="34" s="1"/>
  <c r="G21" i="30"/>
  <c r="G23" i="30" s="1"/>
  <c r="I23" i="66"/>
  <c r="H23" i="66"/>
  <c r="G21" i="66"/>
  <c r="G23" i="66" s="1"/>
  <c r="I23" i="28"/>
  <c r="G21" i="28"/>
  <c r="G23" i="28" s="1"/>
  <c r="G21" i="27"/>
  <c r="G21" i="26"/>
  <c r="G23" i="26" s="1"/>
  <c r="G21" i="15"/>
  <c r="G23" i="15" s="1"/>
  <c r="G21" i="16"/>
  <c r="G23" i="16" s="1"/>
  <c r="G21" i="17"/>
  <c r="G23" i="17" s="1"/>
  <c r="G21" i="20"/>
  <c r="G23" i="20" s="1"/>
  <c r="G21" i="22"/>
  <c r="G23" i="22" s="1"/>
  <c r="J10" i="70"/>
  <c r="K10" i="70"/>
  <c r="M10" i="70" s="1"/>
  <c r="J16" i="70"/>
  <c r="K16" i="70"/>
  <c r="M16" i="70"/>
  <c r="J18" i="70"/>
  <c r="K18" i="70"/>
  <c r="M18" i="70" s="1"/>
  <c r="J20" i="70"/>
  <c r="K20" i="70"/>
  <c r="M20" i="70"/>
  <c r="J22" i="70"/>
  <c r="K22" i="70"/>
  <c r="L22" i="70"/>
  <c r="M22" i="70"/>
  <c r="J24" i="70"/>
  <c r="K24" i="70"/>
  <c r="L24" i="70"/>
  <c r="M24" i="70"/>
  <c r="M26" i="70"/>
  <c r="J28" i="70"/>
  <c r="M28" i="70" s="1"/>
  <c r="K28" i="70"/>
  <c r="L28" i="70"/>
  <c r="J32" i="70"/>
  <c r="M32" i="70" s="1"/>
  <c r="K32" i="70"/>
  <c r="L32" i="70"/>
  <c r="M40" i="70"/>
  <c r="J42" i="70"/>
  <c r="K42" i="70"/>
  <c r="M42" i="70" s="1"/>
  <c r="J46" i="70"/>
  <c r="M46" i="70" s="1"/>
  <c r="K46" i="70"/>
  <c r="L46" i="70"/>
  <c r="J48" i="70"/>
  <c r="K48" i="70"/>
  <c r="M48" i="70"/>
  <c r="M52" i="70"/>
  <c r="J56" i="70"/>
  <c r="K56" i="70"/>
  <c r="M56" i="70"/>
  <c r="J58" i="70"/>
  <c r="K58" i="70"/>
  <c r="M58" i="70" s="1"/>
  <c r="J60" i="70"/>
  <c r="M60" i="70" s="1"/>
  <c r="K60" i="70"/>
  <c r="J62" i="70"/>
  <c r="K62" i="70"/>
  <c r="M62" i="70" s="1"/>
  <c r="J64" i="70"/>
  <c r="K64" i="70"/>
  <c r="M64" i="70"/>
  <c r="J66" i="70"/>
  <c r="K66" i="70"/>
  <c r="M66" i="70" s="1"/>
  <c r="J68" i="70"/>
  <c r="M68" i="70" s="1"/>
  <c r="K68" i="70"/>
  <c r="M70" i="70"/>
  <c r="J72" i="70"/>
  <c r="K72" i="70"/>
  <c r="M72" i="70"/>
  <c r="J74" i="70"/>
  <c r="K74" i="70"/>
  <c r="M74" i="70" s="1"/>
  <c r="J80" i="70"/>
  <c r="K80" i="70"/>
  <c r="M80" i="70"/>
  <c r="M84" i="70"/>
  <c r="J88" i="70"/>
  <c r="K88" i="70"/>
  <c r="M88" i="70"/>
  <c r="J90" i="70"/>
  <c r="K90" i="70"/>
  <c r="M90" i="70" s="1"/>
  <c r="J96" i="70"/>
  <c r="K96" i="70"/>
  <c r="M96" i="70" s="1"/>
  <c r="I51" i="18" l="1"/>
  <c r="I52" i="17"/>
  <c r="I53" i="30"/>
  <c r="I51" i="36"/>
  <c r="I52" i="39"/>
  <c r="I52" i="16"/>
  <c r="I52" i="27"/>
  <c r="I51" i="66"/>
  <c r="I52" i="32"/>
  <c r="I52" i="34"/>
  <c r="G61" i="70"/>
  <c r="G23" i="44"/>
  <c r="G87" i="70"/>
  <c r="G23" i="59"/>
  <c r="H51" i="23"/>
  <c r="H52" i="17"/>
  <c r="H52" i="16"/>
  <c r="H52" i="27"/>
  <c r="H51" i="66"/>
  <c r="H53" i="30"/>
  <c r="H52" i="32"/>
  <c r="H51" i="33"/>
  <c r="H51" i="36"/>
  <c r="H52" i="39"/>
  <c r="H52" i="42"/>
  <c r="I51" i="47"/>
  <c r="I52" i="56"/>
  <c r="I52" i="58"/>
  <c r="M97" i="70"/>
  <c r="G97" i="70"/>
  <c r="G23" i="29"/>
  <c r="G24" i="39"/>
  <c r="I48" i="43"/>
  <c r="I52" i="43" s="1"/>
  <c r="H52" i="43"/>
  <c r="I52" i="45"/>
  <c r="I52" i="48"/>
  <c r="I52" i="49"/>
  <c r="I52" i="50"/>
  <c r="I52" i="53"/>
  <c r="I52" i="55"/>
  <c r="L76" i="70"/>
  <c r="J76" i="70"/>
  <c r="M76" i="70" s="1"/>
  <c r="K76" i="70"/>
  <c r="H31" i="70"/>
  <c r="I49" i="70"/>
  <c r="H51" i="70"/>
  <c r="H53" i="70"/>
  <c r="H55" i="70"/>
  <c r="H57" i="70"/>
  <c r="H65" i="70"/>
  <c r="H52" i="45"/>
  <c r="H51" i="47"/>
  <c r="H52" i="48"/>
  <c r="H52" i="49"/>
  <c r="H52" i="50"/>
  <c r="H52" i="53"/>
  <c r="H52" i="55"/>
  <c r="H52" i="56"/>
  <c r="H52" i="58"/>
  <c r="F97" i="70"/>
  <c r="H9" i="70"/>
  <c r="H59" i="70"/>
  <c r="H61" i="70"/>
  <c r="H67" i="70"/>
  <c r="H87" i="70"/>
  <c r="I97" i="70"/>
  <c r="K82" i="70"/>
  <c r="M82" i="70" s="1"/>
  <c r="J92" i="70"/>
  <c r="M92" i="70" s="1"/>
  <c r="G23" i="27"/>
  <c r="H97" i="70" l="1"/>
  <c r="N98" i="70" s="1"/>
  <c r="I98" i="70"/>
  <c r="N97" i="70"/>
</calcChain>
</file>

<file path=xl/sharedStrings.xml><?xml version="1.0" encoding="utf-8"?>
<sst xmlns="http://schemas.openxmlformats.org/spreadsheetml/2006/main" count="3274" uniqueCount="327">
  <si>
    <t>Skutečnost</t>
  </si>
  <si>
    <t>Hlavní činnost</t>
  </si>
  <si>
    <t>celkem</t>
  </si>
  <si>
    <t>Náklady</t>
  </si>
  <si>
    <t>Výnosy</t>
  </si>
  <si>
    <t>b)</t>
  </si>
  <si>
    <t>Fond odměn</t>
  </si>
  <si>
    <t>Fond rezervní</t>
  </si>
  <si>
    <t>FKSP</t>
  </si>
  <si>
    <t>Tvorba</t>
  </si>
  <si>
    <t>Čerpání</t>
  </si>
  <si>
    <t>d)</t>
  </si>
  <si>
    <t>Fondy</t>
  </si>
  <si>
    <t xml:space="preserve">Stav k </t>
  </si>
  <si>
    <t>Doplňující údaje :</t>
  </si>
  <si>
    <t>Investiční fond</t>
  </si>
  <si>
    <t>Doplňková  činnost</t>
  </si>
  <si>
    <t>z toho:</t>
  </si>
  <si>
    <t xml:space="preserve">celkem   </t>
  </si>
  <si>
    <t xml:space="preserve">Schválený </t>
  </si>
  <si>
    <t>rozpočet</t>
  </si>
  <si>
    <t xml:space="preserve">a)    Náklady a výnosy    </t>
  </si>
  <si>
    <t>Upravený</t>
  </si>
  <si>
    <t>CELKEM</t>
  </si>
  <si>
    <t>IČ</t>
  </si>
  <si>
    <t>Střední škola</t>
  </si>
  <si>
    <t>REKAPITULACE ZA ORGANIZACI :</t>
  </si>
  <si>
    <t>Adresa :</t>
  </si>
  <si>
    <t>jednotka - tis. Kč na 2 des. místa</t>
  </si>
  <si>
    <t xml:space="preserve"> - Návrh na příděly do fondů:</t>
  </si>
  <si>
    <t xml:space="preserve"> - Způsob krytí ztráty :</t>
  </si>
  <si>
    <t>c)</t>
  </si>
  <si>
    <t>Závazné ukazatele</t>
  </si>
  <si>
    <t>Limit mzdových prostředků</t>
  </si>
  <si>
    <t>Základní škola a Mateřská škola logopedická</t>
  </si>
  <si>
    <t>VOŠ a SPŠ elektrotechnická</t>
  </si>
  <si>
    <t>SOU strojírenské a lesnické</t>
  </si>
  <si>
    <t>a) Příspěvkové organizace v oblasti školství</t>
  </si>
  <si>
    <t>ORJ -10</t>
  </si>
  <si>
    <t>v tis. Kč</t>
  </si>
  <si>
    <t>ORG</t>
  </si>
  <si>
    <t xml:space="preserve">Název školy </t>
  </si>
  <si>
    <t>Adresa</t>
  </si>
  <si>
    <t>Daň</t>
  </si>
  <si>
    <t>Výsledek hospodaření</t>
  </si>
  <si>
    <t>Rozdělení do fondů - v Kč</t>
  </si>
  <si>
    <t>Pokrytí        ztráty z      minulých      období</t>
  </si>
  <si>
    <t>zlepšený VH</t>
  </si>
  <si>
    <t>ztráta</t>
  </si>
  <si>
    <t>Celkem</t>
  </si>
  <si>
    <t>Náměstí 150</t>
  </si>
  <si>
    <t>783 04  Město Libavá</t>
  </si>
  <si>
    <t>Blanická 16</t>
  </si>
  <si>
    <t>772 00 Olomouc</t>
  </si>
  <si>
    <t>Základní škola a Mateřská škola při FN Olomouc</t>
  </si>
  <si>
    <t>I.P.Pavlova 6</t>
  </si>
  <si>
    <t xml:space="preserve">775 20 Olomouc </t>
  </si>
  <si>
    <t>785 01 Šternberk</t>
  </si>
  <si>
    <t>B. Dvorského 17</t>
  </si>
  <si>
    <t xml:space="preserve">783 51 </t>
  </si>
  <si>
    <t>Olomouc-Sv.K.</t>
  </si>
  <si>
    <t>784 01 Litovel</t>
  </si>
  <si>
    <t>Svatoplukova 11</t>
  </si>
  <si>
    <t>779 00 Olomouc</t>
  </si>
  <si>
    <t>Olomoucká 76</t>
  </si>
  <si>
    <t>Šternberská 35</t>
  </si>
  <si>
    <t xml:space="preserve">783 91 Uničov </t>
  </si>
  <si>
    <t>Palackého 938</t>
  </si>
  <si>
    <t>Masarykova 357</t>
  </si>
  <si>
    <t>Opletalova 189</t>
  </si>
  <si>
    <t>Čajkovského 9</t>
  </si>
  <si>
    <t>771 11 Olomouc</t>
  </si>
  <si>
    <t>Tomkova 45</t>
  </si>
  <si>
    <t xml:space="preserve">779 00 </t>
  </si>
  <si>
    <t>Olomouc-Hejčín</t>
  </si>
  <si>
    <t>Horní nám. 5</t>
  </si>
  <si>
    <t>Gymnazijní 257</t>
  </si>
  <si>
    <t>Božetěchova 3</t>
  </si>
  <si>
    <t>tř. 17.listopadu 49</t>
  </si>
  <si>
    <t>772 11 Olomouc</t>
  </si>
  <si>
    <t>Školní 164</t>
  </si>
  <si>
    <t>U Hradiska 4</t>
  </si>
  <si>
    <t xml:space="preserve">774 00 Olomouc </t>
  </si>
  <si>
    <t>tř. Spojenců 11</t>
  </si>
  <si>
    <t>771 00 Olomouc</t>
  </si>
  <si>
    <t>Morav.nám. 681</t>
  </si>
  <si>
    <t>783 91 Uničov</t>
  </si>
  <si>
    <t>Komenského 677</t>
  </si>
  <si>
    <t>J. Sigmunda 242</t>
  </si>
  <si>
    <t>793 49 Lutín</t>
  </si>
  <si>
    <t>Rooseveltova 79</t>
  </si>
  <si>
    <t>Štursova 14</t>
  </si>
  <si>
    <t>772 86 Olomouc</t>
  </si>
  <si>
    <t>Opavská 4</t>
  </si>
  <si>
    <t>Na Vozovce 32</t>
  </si>
  <si>
    <t>Kavaleristů 6</t>
  </si>
  <si>
    <t>Základní umělecká škola M. Stibora - výtv. obor</t>
  </si>
  <si>
    <t>Pionýrská 4</t>
  </si>
  <si>
    <t>Jungmannova 740</t>
  </si>
  <si>
    <t>Dvořákova 349</t>
  </si>
  <si>
    <t>793 05 Mor. Beroun</t>
  </si>
  <si>
    <t>tř. 17.listopadu 47</t>
  </si>
  <si>
    <t>771 74 Olomouc</t>
  </si>
  <si>
    <t>Komenského 719/6</t>
  </si>
  <si>
    <t>Nádražní 530</t>
  </si>
  <si>
    <t>U sportovní haly 1a</t>
  </si>
  <si>
    <t>U Sportovní haly 1a</t>
  </si>
  <si>
    <t>saldo</t>
  </si>
  <si>
    <t>Základní škola a Mateřská škola Libavá</t>
  </si>
  <si>
    <t>Základní škola Šternberk</t>
  </si>
  <si>
    <t>Základní škola, Dětský domov a Školní jídelna Litovel</t>
  </si>
  <si>
    <t>Základní škola Moravský Beroun</t>
  </si>
  <si>
    <t>Střední průmyslová škola strojnická Olomouc</t>
  </si>
  <si>
    <t>Dům dětí a mládeže Olomouc</t>
  </si>
  <si>
    <t>Název organizace :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</si>
  <si>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</si>
  <si>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</si>
  <si>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daň z příjmů,dodatečné odvody daně z příjmů (nákladová položka)</t>
  </si>
  <si>
    <t>Výsledek hospodaření /po zdanění/</t>
  </si>
  <si>
    <t>Rozdělení výsledku hospodaření</t>
  </si>
  <si>
    <t>v Kč</t>
  </si>
  <si>
    <t>Schválená částka</t>
  </si>
  <si>
    <t>% plnění</t>
  </si>
  <si>
    <t>Neinvestiční příspěvek /odpisy/</t>
  </si>
  <si>
    <t>Neinvestiční příspěvek /nájemné/</t>
  </si>
  <si>
    <t>jednotka -  Kč na 2 des. místa</t>
  </si>
  <si>
    <t>Finanční krytí k</t>
  </si>
  <si>
    <t>Gymnázium, Olomouc, Čajkovského 9</t>
  </si>
  <si>
    <t>Gymnázium, Šternberk</t>
  </si>
  <si>
    <t>Střední škola polygrafická, Olomouc</t>
  </si>
  <si>
    <t>Mateřská škola Olomouc</t>
  </si>
  <si>
    <t>Základní škola prof. V. Vejdovského Litovel</t>
  </si>
  <si>
    <t>Základní škola prof. Z. Matějčka Olomouc</t>
  </si>
  <si>
    <t>Gymnázium Jana Opletala, Litovel</t>
  </si>
  <si>
    <t>Slovanské gymnázium Olomouc</t>
  </si>
  <si>
    <t>Gymnázium Olomouc - Hejčín</t>
  </si>
  <si>
    <t>Gymnázium, Uničov, Gymnazijní 257</t>
  </si>
  <si>
    <t>Obchodní akademie Olomouc</t>
  </si>
  <si>
    <t>Sigmundova střední škola strojírenská, Lutín</t>
  </si>
  <si>
    <t>Střední škola polytechnická, Olomouc</t>
  </si>
  <si>
    <t>Olomouc</t>
  </si>
  <si>
    <t>Olomouckého kraje</t>
  </si>
  <si>
    <t xml:space="preserve">                Mgr. Miroslav Gajdůšek, MBA</t>
  </si>
  <si>
    <t>tř. Svornosti 37/900</t>
  </si>
  <si>
    <t>Náměstí 150, Město Libavá</t>
  </si>
  <si>
    <t>Blanická 16, Olomouc</t>
  </si>
  <si>
    <t>I.P.Pavlova 6, Olomouc</t>
  </si>
  <si>
    <t>tř. Svornosti 37/900, Olomouc</t>
  </si>
  <si>
    <t>00601683</t>
  </si>
  <si>
    <t xml:space="preserve">nám. P. Otakara 777, Litovel </t>
  </si>
  <si>
    <t>00601802</t>
  </si>
  <si>
    <t>Svatoplukova 11, Olomouc - Řepčín</t>
  </si>
  <si>
    <t>B. Dvorského 17, Olomouc - Svatý Kopeček</t>
  </si>
  <si>
    <t>00601691</t>
  </si>
  <si>
    <t>Olomoucká 76, Šternberk</t>
  </si>
  <si>
    <t>61989789</t>
  </si>
  <si>
    <t>Základní škola, Šternberská 35, Uničov</t>
  </si>
  <si>
    <t>Šternberská 35, Uničov</t>
  </si>
  <si>
    <t>61989762</t>
  </si>
  <si>
    <t>Palackého 938, Litovel</t>
  </si>
  <si>
    <t>61989771</t>
  </si>
  <si>
    <t>Masarykova 357, Moravský Beroun</t>
  </si>
  <si>
    <t>60802782</t>
  </si>
  <si>
    <t>Opletalova 189, Litovel</t>
  </si>
  <si>
    <t>00601772</t>
  </si>
  <si>
    <t>Čajkovského 9, Olomouc</t>
  </si>
  <si>
    <t>00848956</t>
  </si>
  <si>
    <t>00601781</t>
  </si>
  <si>
    <t>Tomkova 45, Olomouc - Hejčín</t>
  </si>
  <si>
    <t>00601799</t>
  </si>
  <si>
    <t>Horní nám. 5, Šternberk</t>
  </si>
  <si>
    <t>00601764</t>
  </si>
  <si>
    <t>Gymnazijní 257, Uničov</t>
  </si>
  <si>
    <t>00601756</t>
  </si>
  <si>
    <t>Božetěchova 3, Olomouc</t>
  </si>
  <si>
    <t>00844012</t>
  </si>
  <si>
    <t>00601748</t>
  </si>
  <si>
    <t>Střední průmyslová škola a Obchodní akademie Uničov</t>
  </si>
  <si>
    <t>Školní 164, Uničov</t>
  </si>
  <si>
    <t>00601730</t>
  </si>
  <si>
    <t>Střední škola zemědělská, Olomouc, U Hradiska 4</t>
  </si>
  <si>
    <t>U Hradiska 4, Olomouc</t>
  </si>
  <si>
    <t>00602035</t>
  </si>
  <si>
    <t>Pöttingova 2, Olomouc</t>
  </si>
  <si>
    <t>00601713</t>
  </si>
  <si>
    <t>00601721</t>
  </si>
  <si>
    <t>SZdrŠ a VOŠ zdravotnická Emanuela Pöttinga</t>
  </si>
  <si>
    <t>00600938</t>
  </si>
  <si>
    <t>Střední odborná škola a Střední odborné učiliště, Uničov</t>
  </si>
  <si>
    <t>Moravské nám. 681, Uničov</t>
  </si>
  <si>
    <t>00848824</t>
  </si>
  <si>
    <t>Komenského 677, Litovel</t>
  </si>
  <si>
    <t>00848875</t>
  </si>
  <si>
    <t>J. Sigmunda 242, Lutín</t>
  </si>
  <si>
    <t>66935733</t>
  </si>
  <si>
    <t>00845337</t>
  </si>
  <si>
    <t>Rooseveltova 79, Olomouc</t>
  </si>
  <si>
    <t>13643606</t>
  </si>
  <si>
    <t>Střední Novosadská 55, Olomouc</t>
  </si>
  <si>
    <t>00848778</t>
  </si>
  <si>
    <t>Štursova 14, Olomouc</t>
  </si>
  <si>
    <t>00577448</t>
  </si>
  <si>
    <t>Střední škola technická a obchodní, Olomouc</t>
  </si>
  <si>
    <t>14451085</t>
  </si>
  <si>
    <t>Opavská 4, Šternberk</t>
  </si>
  <si>
    <t>00848794</t>
  </si>
  <si>
    <t>Základní umělecká škola Iši Krejčího Olomouc</t>
  </si>
  <si>
    <t>Na Vozovce 32, Olomouc</t>
  </si>
  <si>
    <t>47654236</t>
  </si>
  <si>
    <t>Základní umělecká škola "Žerotín", Olomouc</t>
  </si>
  <si>
    <t>Kavaleristů 6, Olomouc</t>
  </si>
  <si>
    <t>00096725</t>
  </si>
  <si>
    <t>ZUŠ Miloslava Stibora - výtvarný obor, Olomouc</t>
  </si>
  <si>
    <t>Pionýrská 4, Olomouc</t>
  </si>
  <si>
    <t>47654279</t>
  </si>
  <si>
    <t>Základní umělecká škola Litovel</t>
  </si>
  <si>
    <t>Jungmannova 740, Litovel</t>
  </si>
  <si>
    <t>47654325</t>
  </si>
  <si>
    <t>Základní umělecká škola, Uničov, Litovelská 190</t>
  </si>
  <si>
    <t>Litovelská 190, Uničov</t>
  </si>
  <si>
    <t>47654244</t>
  </si>
  <si>
    <t>Základní umělecká škola, Moravský Beroun</t>
  </si>
  <si>
    <t>Dvořákova 349, Moravský Beroun</t>
  </si>
  <si>
    <t>00852716</t>
  </si>
  <si>
    <t>00096792</t>
  </si>
  <si>
    <t>Dům dětí a mládeže Litovel</t>
  </si>
  <si>
    <t>Komenského 719/6, Litovel</t>
  </si>
  <si>
    <t>61989738</t>
  </si>
  <si>
    <t>Dům dětí a mládeže Vila Tereza, Uničov</t>
  </si>
  <si>
    <t>Nádražní 530, Uničov</t>
  </si>
  <si>
    <t>47654392</t>
  </si>
  <si>
    <t>Dětský domov a Školní jídelna, Olomouc</t>
  </si>
  <si>
    <t>U sportovní haly 1a/544, Olomouc</t>
  </si>
  <si>
    <t>00849235</t>
  </si>
  <si>
    <t>U sportovní haly 1a, Olomouc</t>
  </si>
  <si>
    <t>60338911</t>
  </si>
  <si>
    <t>Odvody z investičního fondu /odpisy/</t>
  </si>
  <si>
    <t>Odvody z investičního fondu /spolufin. akcí/</t>
  </si>
  <si>
    <t>Jazyková škola s právem státní jazykové zkoušky</t>
  </si>
  <si>
    <t xml:space="preserve">Částka </t>
  </si>
  <si>
    <t>Správce:  vedoucí odboru</t>
  </si>
  <si>
    <t>nerozp.</t>
  </si>
  <si>
    <t>Základní škola a Mateřská škola</t>
  </si>
  <si>
    <t>Mateřská škola</t>
  </si>
  <si>
    <t xml:space="preserve">Základní škola a Mateřská škola při FN </t>
  </si>
  <si>
    <t>Základní škola prof. V. Vejdovského</t>
  </si>
  <si>
    <t>Základní škola prof. Z. Matějčka</t>
  </si>
  <si>
    <t xml:space="preserve">Základní škola </t>
  </si>
  <si>
    <t>Základní škola</t>
  </si>
  <si>
    <t xml:space="preserve">Základní škola, Dětský domov a Školní jídelna </t>
  </si>
  <si>
    <t>Gymnázium Jana Opletala</t>
  </si>
  <si>
    <t>Gymnázium</t>
  </si>
  <si>
    <t>Slovanské gymnázium</t>
  </si>
  <si>
    <t xml:space="preserve">Gymnázium </t>
  </si>
  <si>
    <t>Střední průmyslová škola strojnická</t>
  </si>
  <si>
    <t xml:space="preserve">Střední průmyslová škola a OA </t>
  </si>
  <si>
    <t>Střední škola zemědělská</t>
  </si>
  <si>
    <t xml:space="preserve">Jazyková škola s právem SJZ </t>
  </si>
  <si>
    <t>Obchodní akademie</t>
  </si>
  <si>
    <t>Střední odborná škola a SOU</t>
  </si>
  <si>
    <t>Sigmundova střední škola strojírenská</t>
  </si>
  <si>
    <t>Střední škola polytechnická</t>
  </si>
  <si>
    <t>Střední škola polygrafická</t>
  </si>
  <si>
    <t>Střední škola technická a obchodní</t>
  </si>
  <si>
    <t xml:space="preserve">Základní umělecká škola  Iši Krejčího </t>
  </si>
  <si>
    <t>Základní umělecká škola „Žerotín“</t>
  </si>
  <si>
    <t>Základní umělecká škola</t>
  </si>
  <si>
    <t xml:space="preserve">Dům dětí a mládeže </t>
  </si>
  <si>
    <t>Dům dětí a mládeže</t>
  </si>
  <si>
    <t>Dům dětí a mládeže Vila Tereza</t>
  </si>
  <si>
    <t>Dětský domov a Školní jídelna</t>
  </si>
  <si>
    <t>Střední škola logistiky a chemie</t>
  </si>
  <si>
    <t>U Hradiska 29</t>
  </si>
  <si>
    <t xml:space="preserve">Střední škola logistiky a chemie, Olomouc </t>
  </si>
  <si>
    <t>U Hradiska 29, Olomouc</t>
  </si>
  <si>
    <t>Pozn.: Vynaložené odpisy nad stanovený limit byly finančně pokryty z provozních prostředků organizace- 370,- Kč.</t>
  </si>
  <si>
    <t>SOŠ obchodu a služeb</t>
  </si>
  <si>
    <t>Z celkového počtu 44 organizací okresu Olomouc skončilo:</t>
  </si>
  <si>
    <t>Litovelská 190</t>
  </si>
  <si>
    <t>Pedagogicko-psychologická poradna  OK</t>
  </si>
  <si>
    <t>Stř. Novosadská 55</t>
  </si>
  <si>
    <t>Pöttingova 2</t>
  </si>
  <si>
    <t>tř. J. z Poděbrad 13</t>
  </si>
  <si>
    <t>nám. P. Otakara 777</t>
  </si>
  <si>
    <t>SZŠ a VOŠ zdravotnická Emanuela Pöttinga</t>
  </si>
  <si>
    <t>tř. Jiřího z Poděbrad 13, Olomouc</t>
  </si>
  <si>
    <t>tř.  17. listopadu 49, Olomouc</t>
  </si>
  <si>
    <t>tř. Spojenců 11, Olomouc</t>
  </si>
  <si>
    <t>tř. 17. listopadu 47, Olomouc</t>
  </si>
  <si>
    <t>Základní škola a Mateřská škola logopedická Olomouc</t>
  </si>
  <si>
    <t>Pedagogicko - psychologická poradna Olomouckého kraje</t>
  </si>
  <si>
    <t>Stav k 1.1.2010</t>
  </si>
  <si>
    <t>Pozn.: Vynaložené odpisy nad stanovený limit byly finančně pokryty z provozních prostředků organizace- 85,42 Kč.</t>
  </si>
  <si>
    <t>Pozn.: Vynaložené odpisy nad stanovený limit byly finančně pokryty z provozních prostředků organizace- 27 892,27 Kč.</t>
  </si>
  <si>
    <t>Pozn.: Vynaložené odpisy nad stanovený limit byly finančně pokryty z provozních prostředků organizace- 319,02 Kč.</t>
  </si>
  <si>
    <t>Pozn.: Výsledek hospodaření upraven o neuhrazenou ztrátu minulých let- 32 164,12 Kč.</t>
  </si>
  <si>
    <r>
      <t>Ztráta 77 629,10 Kč bude pokryta z prostředků rezervního fondu v souladu s ust. § 30, odst. 3d) zákona č. 250/2000 Sb., o rozpočtových pravidlech územních rozpočtů ve znění pozdějších předpisů -</t>
    </r>
    <r>
      <rPr>
        <b/>
        <sz val="10"/>
        <rFont val="Arial"/>
        <family val="2"/>
        <charset val="238"/>
      </rPr>
      <t xml:space="preserve"> použití prostředků rezervního fondu, vyjma poskytnutých darů.</t>
    </r>
  </si>
  <si>
    <t>Pozn. 2: Vynaložené odpisy nad stanovený limit byly finančně pokryty z provozních prostředků organizace- 73,- Kč.</t>
  </si>
  <si>
    <t>Zlepšený výsledek hospodaření za rok 2010 ve výši 1 340,77 Kč bude použit k úhradě ztráty z minulých let, která je k 31.12. 2010 ve výši -2 539 667,54 Kč. Zbylá část bude uhrazena ze zlepšeného výsledku hospodaření v následujících letech.</t>
  </si>
  <si>
    <t>Pozn.: Vynaložené odpisy nad stanovený limit byly finančně pokryty z provozních prostředků organizace- 372,04 Kč.</t>
  </si>
  <si>
    <t>Pozn.: Vynaložené odpisy nad stanovený limit byly finančně pokryty z provozních prostředků organizace- 3 049,- Kč.</t>
  </si>
  <si>
    <t>Střední odborná škola Litovel</t>
  </si>
  <si>
    <t xml:space="preserve">Střední odborná škola  </t>
  </si>
  <si>
    <t>Pozn.: Vynaložené odpisy nad stanovený limit byly finančně pokryty z provozních prostředků organizace- 11 211,- Kč.</t>
  </si>
  <si>
    <t>Pozn.: Vynaložené odpisy nad stanovený limit byly finančně pokryty z provozních prostředků organizace- 480,- Kč.</t>
  </si>
  <si>
    <t>Kosinova 872/4, Olomouc</t>
  </si>
  <si>
    <t>Kosinova 872/4</t>
  </si>
  <si>
    <t>Pozn.: Vynaložené odpisy nad stanovený limit byly finančně pokryty z provozních prostředků organizace- 44 773,39 Kč.</t>
  </si>
  <si>
    <t>Pozn.: Organizace obdržela příspěvek na odpisy v celkové výši 30 130,- Kč na pokrytí odpisů z hlavní činnosti, který plně vyčerpala, ale mylně účtovala v doplňkové činnosti. Organizace na toto byla upozorněna a sjedná nápravu.</t>
  </si>
  <si>
    <t>Pozn.: Vynaložené odpisy nad stanovený limit byly finančně pokryty z provozních prostředků organizace- 841,- Kč.</t>
  </si>
  <si>
    <t>Pozn.: Vynaložené odpisy nad stanovený limit byly finančně pokryty z provozních prostředků organizace- 5 936,- Kč.</t>
  </si>
  <si>
    <t>Pozn. 1: Překročení limitu mzdových prostředků o 230 tis. Kč bylo z důvodu výplaty OON ze dvou projektů z ESF, které byly zahájeny k 1.11.2010, překročení bylo hrazeno z finančních prostředků těchto projektů.</t>
  </si>
  <si>
    <r>
      <t xml:space="preserve">Ztráta 91 929,07 Kč bude pokryta ze zlepšeného hospodářského výsledku v následujících letech (81 878,35 Kč) a z prostředků rezervního fondu (10 050,72 Kč) v souladu s ust. § 30, odst. 3d) zákona č. 250/2000 Sb., o rozpočtových pravidlech územních rozpočtů ve znění pozdějších předpisů - </t>
    </r>
    <r>
      <rPr>
        <b/>
        <sz val="10"/>
        <rFont val="Arial"/>
        <family val="2"/>
        <charset val="238"/>
      </rPr>
      <t>použití prostředků rezervního fondu, vyjma poskytnutých darů.</t>
    </r>
  </si>
  <si>
    <r>
      <t xml:space="preserve">Rekapitulace hospodaření /výsledek hospodaření/  za rok  </t>
    </r>
    <r>
      <rPr>
        <b/>
        <u/>
        <sz val="16"/>
        <rFont val="Times New Roman"/>
        <family val="1"/>
        <charset val="238"/>
      </rPr>
      <t>2010</t>
    </r>
    <r>
      <rPr>
        <b/>
        <u/>
        <sz val="14"/>
        <rFont val="Times New Roman"/>
        <family val="1"/>
        <charset val="238"/>
      </rPr>
      <t xml:space="preserve">  - okres Olomouc</t>
    </r>
  </si>
  <si>
    <t xml:space="preserve"> -   4 organizace ve ztrátě v celkové výši -951 tis.Kč  </t>
  </si>
  <si>
    <t>Pozn.1: Vynaložené odpisy nad stanovený limit byly finančně pokryty z provozních prostředků organizace- 29 675,- Kč.</t>
  </si>
  <si>
    <t>Ztráta 637 476,83 Kč bude hrazena ze zlepšeného výsledku hospodaření v následujících letech (neuhrazená ztráta minulých let k 31.12.2010 je - 2 377 616,96 Kč).</t>
  </si>
  <si>
    <t>Ztráta 238 299,74 bude hrazena ze zlepšeného výsledku hospodaření v následujících letech (neuhrazená ztráta minulých let k 31.12.2010 je - 4 115 721,95 Kč).</t>
  </si>
  <si>
    <t xml:space="preserve"> - 36 organizací se zlepšeným výsledkem hospodaření v celkové výši 2 845 tis. Kč</t>
  </si>
  <si>
    <t xml:space="preserve"> -   4 organizace s vyrovnaným výsledkem hospodaření</t>
  </si>
  <si>
    <t>záporný</t>
  </si>
  <si>
    <t>nulový</t>
  </si>
  <si>
    <t>kladný</t>
  </si>
  <si>
    <t>změna</t>
  </si>
  <si>
    <t>Pozn.2: Odvod z investičního fondu - ROP ve výši 8 159,23 tis. Kč, odvod z provozu - ROP ve výši 217,99 tis. Kč.</t>
  </si>
  <si>
    <t>Pozn. :  V případě příspěvkové organizace Základní škola , Masarykova  organizace neskončila  s kladným výsledkem hospodaření (ve výši 1 tis. Kč), ale s vyrovnaným,  obdobně je na tom příspěvková organizace SOŠ obchodu a služeb. Příspěvková organizace Mateřská škola, Blanická, která je uvedena v tabulce mezi příspěvkovými organizacemi s vyrovnaným výsledkem hospodaření, skončila ve skutečnosti s kladným výsledkem ve výši 175,32 Kč. Tyto rozdíly jsou způsobeny zaokrouhlením finančních výkazů na tis. Kč.</t>
  </si>
  <si>
    <t>Pozn.Do fondů je rozděleno o 0,52 Kč méně než byl zlepšený hospodářský výsledek za rok 2010. Tato částka představuje chybné rozdělení hospodářského výsledku příspěvkové organizace ZŠ a MŠ Libavá za rok 2008 (v roce 2009 byl chybně přidělen do fondů organizace výsledek hospodaření z roku 2008 o 0,52 Kč více. Chyba vznikla vinou organizace).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</si>
</sst>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Comic Sans MS"/>
      <family val="4"/>
      <charset val="238"/>
    </font>
    <font>
      <b/>
      <sz val="11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0"/>
      <color indexed="19"/>
      <name val="Comic Sans MS"/>
      <family val="4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12"/>
      <name val="Arial Black"/>
      <family val="2"/>
      <charset val="238"/>
    </font>
    <font>
      <b/>
      <sz val="11"/>
      <name val="Arial Black"/>
      <family val="2"/>
      <charset val="238"/>
    </font>
    <font>
      <sz val="10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sz val="11"/>
      <name val="Arial Black"/>
      <family val="2"/>
      <charset val="238"/>
    </font>
    <font>
      <sz val="8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Arial"/>
      <family val="2"/>
      <charset val="238"/>
    </font>
    <font>
      <b/>
      <sz val="12"/>
      <name val="Comic Sans MS"/>
      <family val="4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 Black"/>
      <family val="2"/>
      <charset val="238"/>
    </font>
    <font>
      <sz val="11"/>
      <name val="Arial"/>
      <family val="2"/>
      <charset val="238"/>
    </font>
    <font>
      <sz val="11"/>
      <name val="Comic Sans MS"/>
      <family val="4"/>
      <charset val="238"/>
    </font>
    <font>
      <sz val="12"/>
      <name val="Arial Black"/>
      <family val="2"/>
    </font>
    <font>
      <b/>
      <u/>
      <sz val="16"/>
      <name val="Arial CE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b/>
      <u/>
      <sz val="14"/>
      <name val="Times New Roman"/>
      <family val="1"/>
      <charset val="238"/>
    </font>
    <font>
      <b/>
      <u/>
      <sz val="16"/>
      <name val="Times New Roman"/>
      <family val="1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 Black"/>
      <family val="2"/>
      <charset val="238"/>
    </font>
    <font>
      <sz val="14"/>
      <name val="Arial Black"/>
      <family val="2"/>
      <charset val="238"/>
    </font>
    <font>
      <sz val="10"/>
      <color indexed="19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vertAlign val="superscript"/>
      <sz val="8"/>
      <name val="Arial"/>
      <family val="2"/>
      <charset val="238"/>
    </font>
    <font>
      <sz val="11.5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2"/>
      <name val="Arial"/>
      <family val="2"/>
      <charset val="238"/>
    </font>
    <font>
      <sz val="8"/>
      <color indexed="10"/>
      <name val="Arial"/>
      <family val="2"/>
      <charset val="238"/>
    </font>
    <font>
      <sz val="9"/>
      <color indexed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2">
    <xf numFmtId="0" fontId="0" fillId="0" borderId="0" xfId="0"/>
    <xf numFmtId="4" fontId="5" fillId="0" borderId="0" xfId="0" applyNumberFormat="1" applyFont="1" applyFill="1" applyBorder="1" applyAlignment="1" applyProtection="1">
      <alignment shrinkToFit="1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Protection="1">
      <protection hidden="1"/>
    </xf>
    <xf numFmtId="0" fontId="31" fillId="0" borderId="0" xfId="0" applyFont="1" applyFill="1"/>
    <xf numFmtId="0" fontId="0" fillId="0" borderId="0" xfId="0" applyFill="1" applyBorder="1"/>
    <xf numFmtId="0" fontId="24" fillId="0" borderId="1" xfId="0" applyFont="1" applyFill="1" applyBorder="1"/>
    <xf numFmtId="0" fontId="24" fillId="0" borderId="2" xfId="0" applyFont="1" applyFill="1" applyBorder="1"/>
    <xf numFmtId="4" fontId="3" fillId="0" borderId="3" xfId="0" applyNumberFormat="1" applyFont="1" applyFill="1" applyBorder="1"/>
    <xf numFmtId="4" fontId="3" fillId="0" borderId="4" xfId="0" applyNumberFormat="1" applyFont="1" applyFill="1" applyBorder="1"/>
    <xf numFmtId="4" fontId="3" fillId="0" borderId="5" xfId="0" applyNumberFormat="1" applyFont="1" applyFill="1" applyBorder="1"/>
    <xf numFmtId="4" fontId="10" fillId="0" borderId="3" xfId="0" applyNumberFormat="1" applyFont="1" applyFill="1" applyBorder="1"/>
    <xf numFmtId="4" fontId="10" fillId="0" borderId="6" xfId="0" applyNumberFormat="1" applyFont="1" applyFill="1" applyBorder="1"/>
    <xf numFmtId="4" fontId="10" fillId="0" borderId="7" xfId="0" applyNumberFormat="1" applyFont="1" applyFill="1" applyBorder="1"/>
    <xf numFmtId="10" fontId="10" fillId="0" borderId="8" xfId="0" applyNumberFormat="1" applyFont="1" applyFill="1" applyBorder="1"/>
    <xf numFmtId="10" fontId="10" fillId="0" borderId="9" xfId="0" applyNumberFormat="1" applyFont="1" applyFill="1" applyBorder="1"/>
    <xf numFmtId="10" fontId="10" fillId="0" borderId="10" xfId="0" applyNumberFormat="1" applyFont="1" applyFill="1" applyBorder="1"/>
    <xf numFmtId="10" fontId="10" fillId="0" borderId="11" xfId="0" applyNumberFormat="1" applyFont="1" applyFill="1" applyBorder="1"/>
    <xf numFmtId="0" fontId="10" fillId="0" borderId="0" xfId="0" applyFont="1" applyFill="1" applyBorder="1"/>
    <xf numFmtId="4" fontId="10" fillId="0" borderId="12" xfId="0" applyNumberFormat="1" applyFont="1" applyFill="1" applyBorder="1"/>
    <xf numFmtId="4" fontId="10" fillId="0" borderId="0" xfId="0" applyNumberFormat="1" applyFont="1" applyFill="1" applyBorder="1"/>
    <xf numFmtId="4" fontId="3" fillId="0" borderId="13" xfId="0" applyNumberFormat="1" applyFont="1" applyFill="1" applyBorder="1" applyAlignment="1">
      <alignment horizontal="right"/>
    </xf>
    <xf numFmtId="10" fontId="10" fillId="0" borderId="0" xfId="0" applyNumberFormat="1" applyFont="1" applyFill="1" applyBorder="1"/>
    <xf numFmtId="4" fontId="10" fillId="0" borderId="10" xfId="0" applyNumberFormat="1" applyFont="1" applyFill="1" applyBorder="1"/>
    <xf numFmtId="4" fontId="3" fillId="0" borderId="14" xfId="0" applyNumberFormat="1" applyFont="1" applyFill="1" applyBorder="1" applyAlignment="1">
      <alignment horizontal="right"/>
    </xf>
    <xf numFmtId="0" fontId="10" fillId="0" borderId="15" xfId="0" applyFont="1" applyFill="1" applyBorder="1"/>
    <xf numFmtId="0" fontId="10" fillId="0" borderId="16" xfId="0" applyFont="1" applyFill="1" applyBorder="1"/>
    <xf numFmtId="0" fontId="10" fillId="0" borderId="17" xfId="0" applyFont="1" applyFill="1" applyBorder="1"/>
    <xf numFmtId="4" fontId="23" fillId="0" borderId="0" xfId="0" applyNumberFormat="1" applyFont="1" applyFill="1" applyBorder="1"/>
    <xf numFmtId="4" fontId="16" fillId="0" borderId="13" xfId="0" applyNumberFormat="1" applyFont="1" applyFill="1" applyBorder="1" applyAlignment="1">
      <alignment horizontal="left"/>
    </xf>
    <xf numFmtId="10" fontId="10" fillId="0" borderId="12" xfId="0" applyNumberFormat="1" applyFont="1" applyFill="1" applyBorder="1"/>
    <xf numFmtId="0" fontId="3" fillId="0" borderId="0" xfId="0" applyFont="1" applyFill="1" applyAlignment="1" applyProtection="1">
      <alignment horizontal="right"/>
      <protection hidden="1"/>
    </xf>
    <xf numFmtId="4" fontId="25" fillId="0" borderId="0" xfId="0" applyNumberFormat="1" applyFont="1" applyFill="1" applyBorder="1" applyAlignment="1" applyProtection="1">
      <alignment shrinkToFit="1"/>
      <protection hidden="1"/>
    </xf>
    <xf numFmtId="4" fontId="25" fillId="0" borderId="0" xfId="0" applyNumberFormat="1" applyFont="1" applyFill="1" applyAlignment="1" applyProtection="1">
      <alignment shrinkToFit="1"/>
      <protection hidden="1"/>
    </xf>
    <xf numFmtId="4" fontId="2" fillId="0" borderId="0" xfId="0" applyNumberFormat="1" applyFont="1" applyFill="1" applyBorder="1" applyAlignment="1" applyProtection="1">
      <alignment shrinkToFit="1"/>
      <protection hidden="1"/>
    </xf>
    <xf numFmtId="4" fontId="18" fillId="0" borderId="0" xfId="0" applyNumberFormat="1" applyFont="1" applyFill="1" applyBorder="1" applyAlignment="1" applyProtection="1">
      <alignment shrinkToFit="1"/>
      <protection hidden="1"/>
    </xf>
    <xf numFmtId="4" fontId="27" fillId="0" borderId="0" xfId="0" applyNumberFormat="1" applyFont="1" applyFill="1" applyBorder="1" applyAlignment="1" applyProtection="1">
      <alignment shrinkToFit="1"/>
      <protection hidden="1"/>
    </xf>
    <xf numFmtId="4" fontId="3" fillId="0" borderId="18" xfId="0" applyNumberFormat="1" applyFont="1" applyFill="1" applyBorder="1" applyAlignment="1">
      <alignment horizontal="right"/>
    </xf>
    <xf numFmtId="4" fontId="3" fillId="0" borderId="19" xfId="0" applyNumberFormat="1" applyFont="1" applyFill="1" applyBorder="1" applyAlignment="1">
      <alignment horizontal="right"/>
    </xf>
    <xf numFmtId="4" fontId="3" fillId="0" borderId="10" xfId="0" applyNumberFormat="1" applyFont="1" applyFill="1" applyBorder="1" applyAlignment="1">
      <alignment horizontal="right"/>
    </xf>
    <xf numFmtId="4" fontId="3" fillId="0" borderId="20" xfId="0" applyNumberFormat="1" applyFont="1" applyFill="1" applyBorder="1"/>
    <xf numFmtId="10" fontId="16" fillId="0" borderId="0" xfId="0" applyNumberFormat="1" applyFont="1" applyFill="1" applyBorder="1"/>
    <xf numFmtId="4" fontId="25" fillId="0" borderId="0" xfId="0" applyNumberFormat="1" applyFont="1" applyFill="1" applyAlignment="1" applyProtection="1">
      <alignment horizontal="right" shrinkToFit="1"/>
      <protection hidden="1"/>
    </xf>
    <xf numFmtId="0" fontId="24" fillId="0" borderId="21" xfId="0" applyFont="1" applyFill="1" applyBorder="1"/>
    <xf numFmtId="4" fontId="3" fillId="0" borderId="12" xfId="0" applyNumberFormat="1" applyFont="1" applyFill="1" applyBorder="1"/>
    <xf numFmtId="4" fontId="3" fillId="0" borderId="22" xfId="0" applyNumberFormat="1" applyFont="1" applyFill="1" applyBorder="1"/>
    <xf numFmtId="4" fontId="3" fillId="0" borderId="23" xfId="0" applyNumberFormat="1" applyFont="1" applyFill="1" applyBorder="1"/>
    <xf numFmtId="4" fontId="3" fillId="0" borderId="24" xfId="0" applyNumberFormat="1" applyFont="1" applyFill="1" applyBorder="1" applyAlignment="1">
      <alignment horizontal="right"/>
    </xf>
    <xf numFmtId="10" fontId="10" fillId="0" borderId="25" xfId="0" applyNumberFormat="1" applyFont="1" applyFill="1" applyBorder="1"/>
    <xf numFmtId="10" fontId="10" fillId="0" borderId="26" xfId="0" applyNumberFormat="1" applyFont="1" applyFill="1" applyBorder="1"/>
    <xf numFmtId="10" fontId="16" fillId="0" borderId="26" xfId="0" applyNumberFormat="1" applyFont="1" applyFill="1" applyBorder="1"/>
    <xf numFmtId="10" fontId="10" fillId="0" borderId="27" xfId="0" applyNumberFormat="1" applyFont="1" applyFill="1" applyBorder="1"/>
    <xf numFmtId="0" fontId="0" fillId="0" borderId="12" xfId="0" applyFill="1" applyBorder="1"/>
    <xf numFmtId="4" fontId="16" fillId="0" borderId="28" xfId="0" applyNumberFormat="1" applyFont="1" applyFill="1" applyBorder="1" applyAlignment="1">
      <alignment horizontal="left"/>
    </xf>
    <xf numFmtId="4" fontId="3" fillId="0" borderId="28" xfId="0" applyNumberFormat="1" applyFont="1" applyFill="1" applyBorder="1" applyAlignment="1">
      <alignment horizontal="right"/>
    </xf>
    <xf numFmtId="4" fontId="3" fillId="0" borderId="28" xfId="0" applyNumberFormat="1" applyFont="1" applyFill="1" applyBorder="1" applyAlignment="1">
      <alignment horizontal="left"/>
    </xf>
    <xf numFmtId="4" fontId="10" fillId="0" borderId="29" xfId="0" applyNumberFormat="1" applyFont="1" applyFill="1" applyBorder="1"/>
    <xf numFmtId="4" fontId="10" fillId="0" borderId="30" xfId="0" applyNumberFormat="1" applyFont="1" applyFill="1" applyBorder="1"/>
    <xf numFmtId="4" fontId="23" fillId="0" borderId="30" xfId="0" applyNumberFormat="1" applyFont="1" applyFill="1" applyBorder="1"/>
    <xf numFmtId="4" fontId="10" fillId="0" borderId="31" xfId="0" applyNumberFormat="1" applyFont="1" applyFill="1" applyBorder="1"/>
    <xf numFmtId="0" fontId="23" fillId="0" borderId="32" xfId="0" applyFont="1" applyFill="1" applyBorder="1"/>
    <xf numFmtId="0" fontId="23" fillId="0" borderId="33" xfId="0" applyFont="1" applyFill="1" applyBorder="1"/>
    <xf numFmtId="4" fontId="0" fillId="0" borderId="34" xfId="0" applyNumberFormat="1" applyFill="1" applyBorder="1"/>
    <xf numFmtId="4" fontId="0" fillId="0" borderId="20" xfId="0" applyNumberFormat="1" applyFill="1" applyBorder="1"/>
    <xf numFmtId="4" fontId="0" fillId="0" borderId="35" xfId="0" applyNumberFormat="1" applyFill="1" applyBorder="1"/>
    <xf numFmtId="4" fontId="0" fillId="0" borderId="12" xfId="0" applyNumberFormat="1" applyFill="1" applyBorder="1"/>
    <xf numFmtId="0" fontId="0" fillId="0" borderId="1" xfId="0" applyNumberFormat="1" applyFill="1" applyBorder="1" applyAlignment="1">
      <alignment wrapText="1"/>
    </xf>
    <xf numFmtId="0" fontId="23" fillId="0" borderId="10" xfId="0" applyFont="1" applyFill="1" applyBorder="1"/>
    <xf numFmtId="4" fontId="10" fillId="0" borderId="12" xfId="0" applyNumberFormat="1" applyFont="1" applyFill="1" applyBorder="1" applyAlignment="1"/>
    <xf numFmtId="0" fontId="26" fillId="0" borderId="0" xfId="0" applyFont="1" applyFill="1" applyProtection="1">
      <protection hidden="1"/>
    </xf>
    <xf numFmtId="0" fontId="22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0" fontId="11" fillId="0" borderId="0" xfId="0" applyFont="1" applyFill="1" applyAlignment="1" applyProtection="1">
      <protection hidden="1"/>
    </xf>
    <xf numFmtId="0" fontId="0" fillId="0" borderId="0" xfId="0" applyFill="1" applyAlignment="1"/>
    <xf numFmtId="0" fontId="25" fillId="0" borderId="0" xfId="0" applyFont="1" applyFill="1" applyProtection="1">
      <protection hidden="1"/>
    </xf>
    <xf numFmtId="0" fontId="11" fillId="0" borderId="0" xfId="0" applyFont="1" applyFill="1" applyProtection="1">
      <protection hidden="1"/>
    </xf>
    <xf numFmtId="49" fontId="3" fillId="0" borderId="0" xfId="0" applyNumberFormat="1" applyFont="1" applyFill="1" applyAlignment="1" applyProtection="1">
      <alignment horizontal="left"/>
      <protection hidden="1"/>
    </xf>
    <xf numFmtId="0" fontId="0" fillId="0" borderId="0" xfId="0" applyFill="1" applyAlignment="1" applyProtection="1">
      <alignment horizontal="left"/>
      <protection hidden="1"/>
    </xf>
    <xf numFmtId="0" fontId="13" fillId="0" borderId="0" xfId="0" applyFont="1" applyFill="1" applyAlignment="1" applyProtection="1">
      <alignment shrinkToFit="1"/>
      <protection hidden="1"/>
    </xf>
    <xf numFmtId="0" fontId="3" fillId="0" borderId="0" xfId="0" applyFont="1" applyFill="1" applyAlignment="1" applyProtection="1">
      <alignment horizontal="right" vertical="center"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horizontal="right"/>
      <protection hidden="1"/>
    </xf>
    <xf numFmtId="0" fontId="2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right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right" shrinkToFit="1"/>
      <protection hidden="1"/>
    </xf>
    <xf numFmtId="0" fontId="3" fillId="0" borderId="0" xfId="0" applyFont="1" applyFill="1" applyBorder="1" applyAlignment="1" applyProtection="1">
      <alignment horizontal="center" shrinkToFit="1"/>
      <protection hidden="1"/>
    </xf>
    <xf numFmtId="0" fontId="8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Protection="1">
      <protection hidden="1"/>
    </xf>
    <xf numFmtId="0" fontId="14" fillId="0" borderId="0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8" fillId="0" borderId="0" xfId="0" applyFont="1" applyFill="1" applyBorder="1" applyProtection="1">
      <protection hidden="1"/>
    </xf>
    <xf numFmtId="0" fontId="19" fillId="0" borderId="0" xfId="0" applyFont="1" applyFill="1" applyBorder="1" applyProtection="1">
      <protection hidden="1"/>
    </xf>
    <xf numFmtId="0" fontId="1" fillId="0" borderId="0" xfId="0" applyFont="1" applyFill="1"/>
    <xf numFmtId="0" fontId="5" fillId="0" borderId="0" xfId="0" applyFont="1" applyFill="1" applyBorder="1" applyProtection="1"/>
    <xf numFmtId="0" fontId="5" fillId="0" borderId="0" xfId="0" applyFont="1" applyFill="1" applyBorder="1"/>
    <xf numFmtId="0" fontId="19" fillId="0" borderId="0" xfId="0" applyFont="1" applyFill="1" applyBorder="1" applyProtection="1"/>
    <xf numFmtId="4" fontId="5" fillId="0" borderId="0" xfId="0" applyNumberFormat="1" applyFont="1" applyFill="1" applyBorder="1"/>
    <xf numFmtId="0" fontId="16" fillId="0" borderId="0" xfId="0" applyFont="1" applyFill="1" applyBorder="1" applyProtection="1"/>
    <xf numFmtId="0" fontId="38" fillId="0" borderId="0" xfId="0" applyFont="1" applyFill="1" applyBorder="1" applyProtection="1"/>
    <xf numFmtId="0" fontId="39" fillId="0" borderId="0" xfId="0" applyFont="1" applyFill="1"/>
    <xf numFmtId="4" fontId="39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2" fillId="0" borderId="0" xfId="0" applyFont="1" applyFill="1" applyBorder="1" applyProtection="1"/>
    <xf numFmtId="0" fontId="13" fillId="0" borderId="0" xfId="0" applyFont="1" applyFill="1" applyBorder="1" applyProtection="1"/>
    <xf numFmtId="0" fontId="21" fillId="0" borderId="0" xfId="0" applyFont="1" applyFill="1" applyBorder="1" applyProtection="1"/>
    <xf numFmtId="0" fontId="28" fillId="0" borderId="0" xfId="0" applyFont="1" applyFill="1" applyBorder="1" applyProtection="1"/>
    <xf numFmtId="4" fontId="27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wrapText="1" shrinkToFit="1"/>
    </xf>
    <xf numFmtId="0" fontId="15" fillId="0" borderId="0" xfId="0" applyFont="1" applyFill="1" applyBorder="1" applyProtection="1">
      <protection hidden="1"/>
    </xf>
    <xf numFmtId="4" fontId="29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3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4" fontId="3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Protection="1">
      <protection hidden="1"/>
    </xf>
    <xf numFmtId="14" fontId="0" fillId="0" borderId="0" xfId="0" applyNumberFormat="1" applyFill="1"/>
    <xf numFmtId="10" fontId="0" fillId="0" borderId="0" xfId="0" applyNumberFormat="1" applyFill="1" applyAlignment="1" applyProtection="1">
      <alignment horizontal="right" indent="4"/>
      <protection locked="0"/>
    </xf>
    <xf numFmtId="0" fontId="6" fillId="0" borderId="0" xfId="0" applyFont="1" applyFill="1" applyBorder="1" applyProtection="1">
      <protection hidden="1"/>
    </xf>
    <xf numFmtId="2" fontId="0" fillId="0" borderId="0" xfId="0" applyNumberFormat="1" applyFill="1" applyBorder="1" applyProtection="1">
      <protection hidden="1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2" fillId="0" borderId="0" xfId="0" applyNumberFormat="1" applyFont="1" applyFill="1" applyBorder="1" applyProtection="1">
      <protection hidden="1"/>
    </xf>
    <xf numFmtId="0" fontId="5" fillId="0" borderId="3" xfId="0" applyFont="1" applyFill="1" applyBorder="1" applyProtection="1">
      <protection hidden="1"/>
    </xf>
    <xf numFmtId="0" fontId="0" fillId="0" borderId="6" xfId="0" applyFill="1" applyBorder="1" applyProtection="1">
      <protection hidden="1"/>
    </xf>
    <xf numFmtId="0" fontId="6" fillId="0" borderId="6" xfId="0" applyFont="1" applyFill="1" applyBorder="1" applyProtection="1">
      <protection hidden="1"/>
    </xf>
    <xf numFmtId="0" fontId="0" fillId="0" borderId="12" xfId="0" applyFill="1" applyBorder="1" applyProtection="1">
      <protection hidden="1"/>
    </xf>
    <xf numFmtId="0" fontId="0" fillId="0" borderId="15" xfId="0" applyFill="1" applyBorder="1" applyProtection="1">
      <protection hidden="1"/>
    </xf>
    <xf numFmtId="0" fontId="0" fillId="0" borderId="16" xfId="0" applyFill="1" applyBorder="1" applyProtection="1">
      <protection hidden="1"/>
    </xf>
    <xf numFmtId="0" fontId="0" fillId="0" borderId="36" xfId="0" applyFill="1" applyBorder="1" applyProtection="1">
      <protection hidden="1"/>
    </xf>
    <xf numFmtId="0" fontId="0" fillId="0" borderId="17" xfId="0" applyFill="1" applyBorder="1" applyProtection="1">
      <protection hidden="1"/>
    </xf>
    <xf numFmtId="0" fontId="0" fillId="0" borderId="37" xfId="0" applyFill="1" applyBorder="1" applyProtection="1">
      <protection hidden="1"/>
    </xf>
    <xf numFmtId="0" fontId="0" fillId="0" borderId="38" xfId="0" applyFill="1" applyBorder="1" applyProtection="1">
      <protection hidden="1"/>
    </xf>
    <xf numFmtId="4" fontId="0" fillId="0" borderId="37" xfId="0" applyNumberFormat="1" applyFill="1" applyBorder="1" applyProtection="1">
      <protection hidden="1"/>
    </xf>
    <xf numFmtId="4" fontId="0" fillId="0" borderId="39" xfId="0" applyNumberFormat="1" applyFill="1" applyBorder="1" applyAlignment="1" applyProtection="1">
      <alignment horizontal="right"/>
      <protection hidden="1"/>
    </xf>
    <xf numFmtId="4" fontId="0" fillId="0" borderId="39" xfId="0" applyNumberFormat="1" applyFill="1" applyBorder="1" applyProtection="1">
      <protection hidden="1"/>
    </xf>
    <xf numFmtId="4" fontId="0" fillId="0" borderId="40" xfId="0" applyNumberFormat="1" applyFill="1" applyBorder="1" applyProtection="1">
      <protection hidden="1"/>
    </xf>
    <xf numFmtId="0" fontId="0" fillId="0" borderId="41" xfId="0" applyFill="1" applyBorder="1" applyProtection="1">
      <protection hidden="1"/>
    </xf>
    <xf numFmtId="0" fontId="0" fillId="0" borderId="42" xfId="0" applyFill="1" applyBorder="1" applyProtection="1">
      <protection hidden="1"/>
    </xf>
    <xf numFmtId="4" fontId="0" fillId="0" borderId="41" xfId="0" applyNumberFormat="1" applyFill="1" applyBorder="1" applyProtection="1">
      <protection hidden="1"/>
    </xf>
    <xf numFmtId="4" fontId="0" fillId="0" borderId="43" xfId="0" applyNumberFormat="1" applyFill="1" applyBorder="1" applyAlignment="1" applyProtection="1">
      <alignment horizontal="right"/>
      <protection hidden="1"/>
    </xf>
    <xf numFmtId="4" fontId="0" fillId="0" borderId="43" xfId="0" applyNumberFormat="1" applyFill="1" applyBorder="1" applyProtection="1">
      <protection hidden="1"/>
    </xf>
    <xf numFmtId="4" fontId="0" fillId="0" borderId="44" xfId="0" applyNumberFormat="1" applyFill="1" applyBorder="1" applyProtection="1">
      <protection hidden="1"/>
    </xf>
    <xf numFmtId="0" fontId="5" fillId="0" borderId="15" xfId="0" applyFont="1" applyFill="1" applyBorder="1" applyProtection="1">
      <protection hidden="1"/>
    </xf>
    <xf numFmtId="0" fontId="9" fillId="0" borderId="16" xfId="0" applyFont="1" applyFill="1" applyBorder="1" applyProtection="1">
      <protection hidden="1"/>
    </xf>
    <xf numFmtId="4" fontId="9" fillId="0" borderId="15" xfId="0" applyNumberFormat="1" applyFont="1" applyFill="1" applyBorder="1" applyProtection="1">
      <protection hidden="1"/>
    </xf>
    <xf numFmtId="4" fontId="9" fillId="0" borderId="45" xfId="0" applyNumberFormat="1" applyFont="1" applyFill="1" applyBorder="1" applyProtection="1">
      <protection hidden="1"/>
    </xf>
    <xf numFmtId="4" fontId="9" fillId="0" borderId="46" xfId="0" applyNumberFormat="1" applyFont="1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3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 applyBorder="1" applyAlignment="1" applyProtection="1">
      <alignment horizontal="center"/>
      <protection hidden="1"/>
    </xf>
    <xf numFmtId="10" fontId="42" fillId="0" borderId="0" xfId="0" applyNumberFormat="1" applyFont="1" applyFill="1" applyBorder="1" applyAlignment="1" applyProtection="1">
      <alignment horizontal="right" indent="4"/>
      <protection locked="0"/>
    </xf>
    <xf numFmtId="0" fontId="42" fillId="0" borderId="0" xfId="0" applyFont="1" applyFill="1" applyAlignment="1">
      <alignment horizontal="center"/>
    </xf>
    <xf numFmtId="0" fontId="42" fillId="0" borderId="0" xfId="0" applyFont="1" applyFill="1"/>
    <xf numFmtId="4" fontId="1" fillId="0" borderId="43" xfId="0" applyNumberFormat="1" applyFont="1" applyFill="1" applyBorder="1" applyProtection="1">
      <protection hidden="1"/>
    </xf>
    <xf numFmtId="4" fontId="40" fillId="0" borderId="0" xfId="0" applyNumberFormat="1" applyFont="1" applyFill="1" applyBorder="1" applyProtection="1">
      <protection hidden="1"/>
    </xf>
    <xf numFmtId="0" fontId="41" fillId="0" borderId="0" xfId="0" applyFont="1" applyFill="1" applyAlignment="1">
      <alignment wrapText="1" shrinkToFit="1"/>
    </xf>
    <xf numFmtId="0" fontId="6" fillId="0" borderId="0" xfId="0" applyFont="1" applyFill="1" applyBorder="1" applyAlignment="1" applyProtection="1">
      <protection hidden="1"/>
    </xf>
    <xf numFmtId="0" fontId="8" fillId="0" borderId="0" xfId="0" applyFont="1" applyFill="1" applyBorder="1" applyAlignment="1" applyProtection="1">
      <protection hidden="1"/>
    </xf>
    <xf numFmtId="2" fontId="0" fillId="0" borderId="0" xfId="0" applyNumberFormat="1" applyFill="1" applyBorder="1" applyAlignment="1" applyProtection="1">
      <protection hidden="1"/>
    </xf>
    <xf numFmtId="4" fontId="3" fillId="0" borderId="0" xfId="0" applyNumberFormat="1" applyFont="1" applyFill="1" applyBorder="1" applyAlignment="1" applyProtection="1">
      <protection hidden="1"/>
    </xf>
    <xf numFmtId="10" fontId="1" fillId="0" borderId="0" xfId="0" applyNumberFormat="1" applyFont="1" applyFill="1" applyBorder="1" applyAlignment="1" applyProtection="1">
      <alignment horizontal="right"/>
      <protection locked="0"/>
    </xf>
    <xf numFmtId="0" fontId="41" fillId="0" borderId="0" xfId="0" applyFont="1" applyFill="1" applyAlignment="1">
      <alignment horizontal="center"/>
    </xf>
    <xf numFmtId="0" fontId="41" fillId="0" borderId="0" xfId="0" applyFont="1" applyFill="1"/>
    <xf numFmtId="4" fontId="0" fillId="0" borderId="0" xfId="0" applyNumberFormat="1" applyFill="1" applyBorder="1" applyProtection="1">
      <protection hidden="1"/>
    </xf>
    <xf numFmtId="4" fontId="5" fillId="0" borderId="0" xfId="0" applyNumberFormat="1" applyFont="1" applyFill="1" applyBorder="1" applyProtection="1"/>
    <xf numFmtId="0" fontId="1" fillId="0" borderId="37" xfId="0" applyFont="1" applyFill="1" applyBorder="1" applyProtection="1">
      <protection hidden="1"/>
    </xf>
    <xf numFmtId="0" fontId="1" fillId="0" borderId="38" xfId="0" applyFont="1" applyFill="1" applyBorder="1" applyProtection="1">
      <protection hidden="1"/>
    </xf>
    <xf numFmtId="4" fontId="1" fillId="0" borderId="37" xfId="0" applyNumberFormat="1" applyFont="1" applyFill="1" applyBorder="1" applyProtection="1">
      <protection hidden="1"/>
    </xf>
    <xf numFmtId="4" fontId="1" fillId="0" borderId="39" xfId="0" applyNumberFormat="1" applyFont="1" applyFill="1" applyBorder="1" applyAlignment="1" applyProtection="1">
      <alignment horizontal="right"/>
      <protection hidden="1"/>
    </xf>
    <xf numFmtId="4" fontId="1" fillId="0" borderId="39" xfId="0" applyNumberFormat="1" applyFont="1" applyFill="1" applyBorder="1" applyProtection="1">
      <protection hidden="1"/>
    </xf>
    <xf numFmtId="4" fontId="1" fillId="0" borderId="40" xfId="0" applyNumberFormat="1" applyFont="1" applyFill="1" applyBorder="1" applyProtection="1">
      <protection hidden="1"/>
    </xf>
    <xf numFmtId="0" fontId="1" fillId="0" borderId="41" xfId="0" applyFont="1" applyFill="1" applyBorder="1" applyProtection="1">
      <protection hidden="1"/>
    </xf>
    <xf numFmtId="0" fontId="1" fillId="0" borderId="42" xfId="0" applyFont="1" applyFill="1" applyBorder="1" applyProtection="1">
      <protection hidden="1"/>
    </xf>
    <xf numFmtId="4" fontId="1" fillId="0" borderId="41" xfId="0" applyNumberFormat="1" applyFont="1" applyFill="1" applyBorder="1" applyProtection="1">
      <protection hidden="1"/>
    </xf>
    <xf numFmtId="4" fontId="1" fillId="0" borderId="43" xfId="0" applyNumberFormat="1" applyFont="1" applyFill="1" applyBorder="1" applyAlignment="1" applyProtection="1">
      <alignment horizontal="right"/>
      <protection hidden="1"/>
    </xf>
    <xf numFmtId="4" fontId="1" fillId="0" borderId="44" xfId="0" applyNumberFormat="1" applyFont="1" applyFill="1" applyBorder="1" applyProtection="1">
      <protection hidden="1"/>
    </xf>
    <xf numFmtId="0" fontId="3" fillId="0" borderId="0" xfId="0" applyFont="1" applyFill="1" applyAlignment="1" applyProtection="1">
      <alignment horizontal="left" vertical="top"/>
      <protection hidden="1"/>
    </xf>
    <xf numFmtId="0" fontId="3" fillId="0" borderId="0" xfId="0" applyFont="1" applyFill="1" applyAlignment="1">
      <alignment wrapText="1" shrinkToFit="1"/>
    </xf>
    <xf numFmtId="0" fontId="3" fillId="0" borderId="0" xfId="0" applyFont="1" applyFill="1" applyBorder="1" applyProtection="1"/>
    <xf numFmtId="4" fontId="3" fillId="0" borderId="0" xfId="0" applyNumberFormat="1" applyFont="1" applyFill="1" applyBorder="1" applyAlignment="1" applyProtection="1">
      <alignment horizontal="right" shrinkToFit="1"/>
      <protection hidden="1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/>
    <xf numFmtId="10" fontId="0" fillId="0" borderId="0" xfId="0" applyNumberFormat="1" applyFill="1" applyAlignment="1" applyProtection="1">
      <alignment horizontal="left"/>
      <protection locked="0"/>
    </xf>
    <xf numFmtId="0" fontId="0" fillId="0" borderId="0" xfId="0" applyFill="1" applyAlignment="1">
      <alignment horizontal="justify" vertical="top"/>
    </xf>
    <xf numFmtId="4" fontId="40" fillId="0" borderId="0" xfId="0" applyNumberFormat="1" applyFont="1" applyFill="1" applyBorder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left" indent="2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30" fillId="0" borderId="0" xfId="0" applyFont="1" applyFill="1"/>
    <xf numFmtId="0" fontId="23" fillId="0" borderId="0" xfId="0" applyFont="1" applyFill="1"/>
    <xf numFmtId="0" fontId="32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23" fillId="0" borderId="0" xfId="0" applyFont="1" applyFill="1" applyAlignment="1">
      <alignment horizontal="right"/>
    </xf>
    <xf numFmtId="0" fontId="33" fillId="0" borderId="0" xfId="0" applyFont="1" applyFill="1"/>
    <xf numFmtId="0" fontId="0" fillId="0" borderId="0" xfId="0" applyFill="1" applyAlignment="1">
      <alignment horizontal="right"/>
    </xf>
    <xf numFmtId="0" fontId="2" fillId="0" borderId="47" xfId="0" applyFont="1" applyFill="1" applyBorder="1"/>
    <xf numFmtId="0" fontId="35" fillId="0" borderId="48" xfId="0" applyFont="1" applyFill="1" applyBorder="1"/>
    <xf numFmtId="0" fontId="36" fillId="0" borderId="49" xfId="0" applyFont="1" applyFill="1" applyBorder="1"/>
    <xf numFmtId="0" fontId="36" fillId="0" borderId="7" xfId="0" applyFont="1" applyFill="1" applyBorder="1"/>
    <xf numFmtId="0" fontId="25" fillId="0" borderId="3" xfId="0" applyFont="1" applyFill="1" applyBorder="1" applyAlignment="1">
      <alignment horizontal="center"/>
    </xf>
    <xf numFmtId="0" fontId="25" fillId="0" borderId="4" xfId="0" applyFont="1" applyFill="1" applyBorder="1" applyAlignment="1">
      <alignment horizontal="center"/>
    </xf>
    <xf numFmtId="0" fontId="25" fillId="0" borderId="5" xfId="0" applyFont="1" applyFill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" fillId="0" borderId="50" xfId="0" applyFont="1" applyFill="1" applyBorder="1"/>
    <xf numFmtId="0" fontId="35" fillId="0" borderId="51" xfId="0" applyFont="1" applyFill="1" applyBorder="1"/>
    <xf numFmtId="0" fontId="36" fillId="0" borderId="52" xfId="0" applyFont="1" applyFill="1" applyBorder="1"/>
    <xf numFmtId="0" fontId="36" fillId="0" borderId="17" xfId="0" applyFont="1" applyFill="1" applyBorder="1"/>
    <xf numFmtId="0" fontId="3" fillId="0" borderId="15" xfId="0" applyFont="1" applyFill="1" applyBorder="1"/>
    <xf numFmtId="0" fontId="3" fillId="0" borderId="53" xfId="0" applyFont="1" applyFill="1" applyBorder="1"/>
    <xf numFmtId="0" fontId="3" fillId="0" borderId="54" xfId="0" applyFont="1" applyFill="1" applyBorder="1"/>
    <xf numFmtId="0" fontId="3" fillId="0" borderId="55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 vertical="center"/>
    </xf>
    <xf numFmtId="0" fontId="0" fillId="0" borderId="32" xfId="0" applyNumberFormat="1" applyFill="1" applyBorder="1"/>
    <xf numFmtId="4" fontId="0" fillId="0" borderId="56" xfId="0" applyNumberFormat="1" applyFill="1" applyBorder="1"/>
    <xf numFmtId="0" fontId="0" fillId="0" borderId="57" xfId="0" applyNumberFormat="1" applyFill="1" applyBorder="1"/>
    <xf numFmtId="0" fontId="23" fillId="0" borderId="21" xfId="0" applyFont="1" applyFill="1" applyBorder="1"/>
    <xf numFmtId="4" fontId="0" fillId="0" borderId="22" xfId="0" applyNumberFormat="1" applyFill="1" applyBorder="1"/>
    <xf numFmtId="4" fontId="0" fillId="0" borderId="23" xfId="0" applyNumberFormat="1" applyFill="1" applyBorder="1"/>
    <xf numFmtId="0" fontId="0" fillId="0" borderId="1" xfId="0" quotePrefix="1" applyNumberFormat="1" applyFill="1" applyBorder="1"/>
    <xf numFmtId="0" fontId="0" fillId="0" borderId="57" xfId="0" quotePrefix="1" applyNumberFormat="1" applyFill="1" applyBorder="1"/>
    <xf numFmtId="4" fontId="0" fillId="0" borderId="25" xfId="0" applyNumberFormat="1" applyFill="1" applyBorder="1"/>
    <xf numFmtId="4" fontId="0" fillId="0" borderId="58" xfId="0" applyNumberFormat="1" applyFill="1" applyBorder="1"/>
    <xf numFmtId="0" fontId="0" fillId="0" borderId="1" xfId="0" applyNumberFormat="1" applyFill="1" applyBorder="1"/>
    <xf numFmtId="0" fontId="1" fillId="0" borderId="21" xfId="0" applyFont="1" applyFill="1" applyBorder="1" applyAlignment="1">
      <alignment wrapText="1"/>
    </xf>
    <xf numFmtId="0" fontId="23" fillId="0" borderId="1" xfId="0" applyFont="1" applyFill="1" applyBorder="1" applyAlignment="1">
      <alignment wrapText="1"/>
    </xf>
    <xf numFmtId="0" fontId="23" fillId="0" borderId="57" xfId="0" applyFont="1" applyFill="1" applyBorder="1"/>
    <xf numFmtId="0" fontId="23" fillId="0" borderId="1" xfId="0" applyFont="1" applyFill="1" applyBorder="1"/>
    <xf numFmtId="0" fontId="1" fillId="0" borderId="10" xfId="0" applyFont="1" applyFill="1" applyBorder="1" applyAlignment="1">
      <alignment wrapText="1"/>
    </xf>
    <xf numFmtId="0" fontId="23" fillId="0" borderId="27" xfId="0" applyFont="1" applyFill="1" applyBorder="1"/>
    <xf numFmtId="0" fontId="0" fillId="0" borderId="32" xfId="0" applyNumberFormat="1" applyFill="1" applyBorder="1" applyAlignment="1">
      <alignment wrapText="1"/>
    </xf>
    <xf numFmtId="0" fontId="0" fillId="0" borderId="57" xfId="0" applyNumberFormat="1" applyFill="1" applyBorder="1" applyAlignment="1">
      <alignment wrapText="1"/>
    </xf>
    <xf numFmtId="0" fontId="23" fillId="0" borderId="33" xfId="0" applyFont="1" applyFill="1" applyBorder="1" applyAlignment="1">
      <alignment wrapText="1"/>
    </xf>
    <xf numFmtId="0" fontId="23" fillId="0" borderId="10" xfId="0" applyFont="1" applyFill="1" applyBorder="1" applyAlignment="1">
      <alignment wrapText="1"/>
    </xf>
    <xf numFmtId="0" fontId="23" fillId="0" borderId="33" xfId="0" applyFont="1" applyFill="1" applyBorder="1" applyAlignment="1"/>
    <xf numFmtId="4" fontId="0" fillId="0" borderId="34" xfId="0" applyNumberFormat="1" applyFill="1" applyBorder="1" applyAlignment="1"/>
    <xf numFmtId="4" fontId="0" fillId="0" borderId="35" xfId="0" applyNumberFormat="1" applyFill="1" applyBorder="1" applyAlignment="1"/>
    <xf numFmtId="0" fontId="23" fillId="0" borderId="59" xfId="0" applyFont="1" applyFill="1" applyBorder="1"/>
    <xf numFmtId="0" fontId="23" fillId="0" borderId="32" xfId="0" applyFont="1" applyFill="1" applyBorder="1" applyAlignment="1">
      <alignment wrapText="1"/>
    </xf>
    <xf numFmtId="0" fontId="23" fillId="0" borderId="57" xfId="0" applyFont="1" applyFill="1" applyBorder="1" applyAlignment="1">
      <alignment wrapText="1"/>
    </xf>
    <xf numFmtId="0" fontId="0" fillId="0" borderId="1" xfId="0" applyNumberFormat="1" applyFill="1" applyBorder="1" applyAlignment="1">
      <alignment horizontal="left" wrapText="1"/>
    </xf>
    <xf numFmtId="2" fontId="0" fillId="0" borderId="60" xfId="0" applyNumberFormat="1" applyFill="1" applyBorder="1"/>
    <xf numFmtId="0" fontId="23" fillId="0" borderId="0" xfId="0" applyFont="1" applyFill="1" applyBorder="1" applyAlignment="1">
      <alignment horizontal="left"/>
    </xf>
    <xf numFmtId="0" fontId="23" fillId="0" borderId="22" xfId="0" applyFont="1" applyFill="1" applyBorder="1" applyAlignment="1">
      <alignment horizontal="left"/>
    </xf>
    <xf numFmtId="0" fontId="23" fillId="0" borderId="23" xfId="0" applyFont="1" applyFill="1" applyBorder="1" applyAlignment="1">
      <alignment horizontal="left"/>
    </xf>
    <xf numFmtId="0" fontId="1" fillId="0" borderId="32" xfId="0" applyFont="1" applyFill="1" applyBorder="1" applyAlignment="1"/>
    <xf numFmtId="0" fontId="1" fillId="0" borderId="57" xfId="0" applyFont="1" applyFill="1" applyBorder="1" applyAlignment="1"/>
    <xf numFmtId="4" fontId="0" fillId="0" borderId="61" xfId="0" applyNumberFormat="1" applyFill="1" applyBorder="1"/>
    <xf numFmtId="0" fontId="23" fillId="0" borderId="0" xfId="0" applyFont="1" applyFill="1" applyBorder="1"/>
    <xf numFmtId="0" fontId="23" fillId="0" borderId="62" xfId="0" applyFont="1" applyFill="1" applyBorder="1"/>
    <xf numFmtId="4" fontId="0" fillId="0" borderId="53" xfId="0" applyNumberFormat="1" applyFill="1" applyBorder="1"/>
    <xf numFmtId="2" fontId="0" fillId="0" borderId="10" xfId="0" applyNumberFormat="1" applyFill="1" applyBorder="1"/>
    <xf numFmtId="0" fontId="18" fillId="0" borderId="3" xfId="0" applyFont="1" applyFill="1" applyBorder="1"/>
    <xf numFmtId="0" fontId="35" fillId="0" borderId="6" xfId="0" applyFont="1" applyFill="1" applyBorder="1"/>
    <xf numFmtId="0" fontId="36" fillId="0" borderId="6" xfId="0" applyFont="1" applyFill="1" applyBorder="1"/>
    <xf numFmtId="4" fontId="25" fillId="0" borderId="3" xfId="0" applyNumberFormat="1" applyFont="1" applyFill="1" applyBorder="1"/>
    <xf numFmtId="4" fontId="25" fillId="0" borderId="6" xfId="0" applyNumberFormat="1" applyFont="1" applyFill="1" applyBorder="1"/>
    <xf numFmtId="4" fontId="25" fillId="0" borderId="5" xfId="0" applyNumberFormat="1" applyFont="1" applyFill="1" applyBorder="1"/>
    <xf numFmtId="4" fontId="25" fillId="0" borderId="7" xfId="0" applyNumberFormat="1" applyFont="1" applyFill="1" applyBorder="1"/>
    <xf numFmtId="0" fontId="31" fillId="0" borderId="15" xfId="0" applyFont="1" applyFill="1" applyBorder="1"/>
    <xf numFmtId="0" fontId="31" fillId="0" borderId="16" xfId="0" applyFont="1" applyFill="1" applyBorder="1"/>
    <xf numFmtId="0" fontId="23" fillId="0" borderId="16" xfId="0" applyFont="1" applyFill="1" applyBorder="1"/>
    <xf numFmtId="4" fontId="0" fillId="0" borderId="15" xfId="0" applyNumberFormat="1" applyFill="1" applyBorder="1"/>
    <xf numFmtId="0" fontId="37" fillId="0" borderId="16" xfId="0" applyFont="1" applyFill="1" applyBorder="1"/>
    <xf numFmtId="0" fontId="25" fillId="0" borderId="54" xfId="0" applyFont="1" applyFill="1" applyBorder="1" applyAlignment="1">
      <alignment horizontal="right"/>
    </xf>
    <xf numFmtId="4" fontId="9" fillId="0" borderId="17" xfId="0" applyNumberFormat="1" applyFont="1" applyFill="1" applyBorder="1"/>
    <xf numFmtId="0" fontId="31" fillId="0" borderId="0" xfId="0" applyFont="1" applyFill="1" applyBorder="1"/>
    <xf numFmtId="0" fontId="44" fillId="0" borderId="0" xfId="0" applyFont="1" applyFill="1" applyBorder="1"/>
    <xf numFmtId="4" fontId="0" fillId="0" borderId="0" xfId="0" applyNumberFormat="1" applyFill="1"/>
    <xf numFmtId="0" fontId="1" fillId="0" borderId="3" xfId="0" applyFont="1" applyFill="1" applyBorder="1" applyAlignment="1" applyProtection="1">
      <alignment horizontal="center"/>
      <protection hidden="1"/>
    </xf>
    <xf numFmtId="0" fontId="1" fillId="0" borderId="63" xfId="0" applyFont="1" applyFill="1" applyBorder="1" applyAlignment="1" applyProtection="1">
      <alignment horizontal="center"/>
      <protection hidden="1"/>
    </xf>
    <xf numFmtId="0" fontId="1" fillId="0" borderId="12" xfId="0" applyFont="1" applyFill="1" applyBorder="1" applyProtection="1">
      <protection hidden="1"/>
    </xf>
    <xf numFmtId="0" fontId="1" fillId="0" borderId="64" xfId="0" applyFont="1" applyFill="1" applyBorder="1" applyProtection="1">
      <protection hidden="1"/>
    </xf>
    <xf numFmtId="0" fontId="1" fillId="0" borderId="64" xfId="0" applyFont="1" applyFill="1" applyBorder="1" applyAlignment="1" applyProtection="1">
      <alignment horizontal="center"/>
      <protection hidden="1"/>
    </xf>
    <xf numFmtId="0" fontId="1" fillId="0" borderId="1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vertical="top"/>
      <protection hidden="1"/>
    </xf>
    <xf numFmtId="0" fontId="8" fillId="0" borderId="0" xfId="0" applyFont="1" applyFill="1" applyProtection="1">
      <protection hidden="1"/>
    </xf>
    <xf numFmtId="0" fontId="1" fillId="0" borderId="63" xfId="0" applyFont="1" applyFill="1" applyBorder="1" applyAlignment="1" applyProtection="1">
      <alignment horizontal="left"/>
      <protection hidden="1"/>
    </xf>
    <xf numFmtId="0" fontId="1" fillId="0" borderId="7" xfId="0" applyFont="1" applyFill="1" applyBorder="1" applyAlignment="1" applyProtection="1">
      <alignment horizontal="left"/>
      <protection hidden="1"/>
    </xf>
    <xf numFmtId="14" fontId="1" fillId="0" borderId="64" xfId="0" applyNumberFormat="1" applyFont="1" applyFill="1" applyBorder="1" applyAlignment="1" applyProtection="1">
      <alignment horizontal="right"/>
      <protection hidden="1"/>
    </xf>
    <xf numFmtId="14" fontId="1" fillId="0" borderId="10" xfId="0" applyNumberFormat="1" applyFont="1" applyFill="1" applyBorder="1" applyAlignment="1" applyProtection="1">
      <alignment horizontal="right"/>
      <protection hidden="1"/>
    </xf>
    <xf numFmtId="4" fontId="0" fillId="0" borderId="63" xfId="0" applyNumberFormat="1" applyFill="1" applyBorder="1" applyProtection="1">
      <protection hidden="1"/>
    </xf>
    <xf numFmtId="4" fontId="0" fillId="0" borderId="65" xfId="0" applyNumberFormat="1" applyFill="1" applyBorder="1" applyProtection="1">
      <protection hidden="1"/>
    </xf>
    <xf numFmtId="4" fontId="0" fillId="0" borderId="66" xfId="0" applyNumberFormat="1" applyFill="1" applyBorder="1" applyProtection="1">
      <protection hidden="1"/>
    </xf>
    <xf numFmtId="0" fontId="1" fillId="0" borderId="0" xfId="0" applyFont="1" applyAlignment="1">
      <alignment horizontal="right"/>
    </xf>
    <xf numFmtId="0" fontId="10" fillId="0" borderId="0" xfId="0" applyFont="1" applyFill="1"/>
    <xf numFmtId="2" fontId="46" fillId="0" borderId="0" xfId="0" applyNumberFormat="1" applyFont="1" applyFill="1" applyBorder="1"/>
    <xf numFmtId="4" fontId="0" fillId="0" borderId="0" xfId="0" applyNumberFormat="1" applyFill="1" applyBorder="1"/>
    <xf numFmtId="4" fontId="3" fillId="0" borderId="28" xfId="0" applyNumberFormat="1" applyFont="1" applyFill="1" applyBorder="1"/>
    <xf numFmtId="4" fontId="3" fillId="0" borderId="67" xfId="0" applyNumberFormat="1" applyFont="1" applyFill="1" applyBorder="1"/>
    <xf numFmtId="4" fontId="3" fillId="0" borderId="60" xfId="0" applyNumberFormat="1" applyFont="1" applyFill="1" applyBorder="1"/>
    <xf numFmtId="4" fontId="3" fillId="0" borderId="68" xfId="0" applyNumberFormat="1" applyFont="1" applyFill="1" applyBorder="1"/>
    <xf numFmtId="4" fontId="3" fillId="0" borderId="60" xfId="0" applyNumberFormat="1" applyFont="1" applyFill="1" applyBorder="1" applyAlignment="1"/>
    <xf numFmtId="4" fontId="3" fillId="0" borderId="10" xfId="0" applyNumberFormat="1" applyFont="1" applyFill="1" applyBorder="1"/>
    <xf numFmtId="2" fontId="3" fillId="0" borderId="68" xfId="0" applyNumberFormat="1" applyFont="1" applyFill="1" applyBorder="1"/>
    <xf numFmtId="2" fontId="3" fillId="0" borderId="67" xfId="0" applyNumberFormat="1" applyFont="1" applyFill="1" applyBorder="1"/>
    <xf numFmtId="2" fontId="3" fillId="0" borderId="60" xfId="0" applyNumberFormat="1" applyFont="1" applyFill="1" applyBorder="1"/>
    <xf numFmtId="0" fontId="47" fillId="0" borderId="0" xfId="0" applyFont="1" applyFill="1" applyBorder="1"/>
    <xf numFmtId="0" fontId="24" fillId="0" borderId="60" xfId="0" applyFont="1" applyFill="1" applyBorder="1" applyAlignment="1">
      <alignment horizontal="left"/>
    </xf>
    <xf numFmtId="4" fontId="43" fillId="0" borderId="24" xfId="0" applyNumberFormat="1" applyFont="1" applyFill="1" applyBorder="1" applyAlignment="1">
      <alignment horizontal="right"/>
    </xf>
    <xf numFmtId="4" fontId="43" fillId="0" borderId="68" xfId="0" applyNumberFormat="1" applyFont="1" applyFill="1" applyBorder="1"/>
    <xf numFmtId="4" fontId="43" fillId="0" borderId="28" xfId="0" applyNumberFormat="1" applyFont="1" applyFill="1" applyBorder="1" applyAlignment="1">
      <alignment horizontal="right"/>
    </xf>
    <xf numFmtId="4" fontId="43" fillId="0" borderId="67" xfId="0" applyNumberFormat="1" applyFont="1" applyFill="1" applyBorder="1"/>
    <xf numFmtId="4" fontId="43" fillId="0" borderId="13" xfId="0" applyNumberFormat="1" applyFont="1" applyFill="1" applyBorder="1" applyAlignment="1">
      <alignment horizontal="right"/>
    </xf>
    <xf numFmtId="4" fontId="43" fillId="0" borderId="60" xfId="0" applyNumberFormat="1" applyFont="1" applyFill="1" applyBorder="1"/>
    <xf numFmtId="2" fontId="43" fillId="0" borderId="60" xfId="0" applyNumberFormat="1" applyFont="1" applyFill="1" applyBorder="1"/>
    <xf numFmtId="4" fontId="48" fillId="0" borderId="29" xfId="0" applyNumberFormat="1" applyFont="1" applyFill="1" applyBorder="1"/>
    <xf numFmtId="4" fontId="48" fillId="0" borderId="30" xfId="0" applyNumberFormat="1" applyFont="1" applyFill="1" applyBorder="1"/>
    <xf numFmtId="4" fontId="48" fillId="0" borderId="0" xfId="0" applyNumberFormat="1" applyFont="1" applyFill="1" applyBorder="1"/>
    <xf numFmtId="4" fontId="48" fillId="0" borderId="31" xfId="0" applyNumberFormat="1" applyFont="1" applyFill="1" applyBorder="1"/>
    <xf numFmtId="4" fontId="48" fillId="0" borderId="12" xfId="0" applyNumberFormat="1" applyFont="1" applyFill="1" applyBorder="1"/>
    <xf numFmtId="4" fontId="49" fillId="0" borderId="0" xfId="0" applyNumberFormat="1" applyFont="1" applyFill="1" applyBorder="1"/>
    <xf numFmtId="4" fontId="48" fillId="0" borderId="10" xfId="0" applyNumberFormat="1" applyFont="1" applyFill="1" applyBorder="1"/>
    <xf numFmtId="0" fontId="0" fillId="2" borderId="0" xfId="0" applyFill="1" applyBorder="1"/>
    <xf numFmtId="4" fontId="16" fillId="0" borderId="3" xfId="0" applyNumberFormat="1" applyFont="1" applyFill="1" applyBorder="1"/>
    <xf numFmtId="4" fontId="16" fillId="0" borderId="6" xfId="0" applyNumberFormat="1" applyFont="1" applyFill="1" applyBorder="1"/>
    <xf numFmtId="4" fontId="24" fillId="0" borderId="6" xfId="0" applyNumberFormat="1" applyFont="1" applyFill="1" applyBorder="1"/>
    <xf numFmtId="4" fontId="16" fillId="0" borderId="7" xfId="0" applyNumberFormat="1" applyFont="1" applyFill="1" applyBorder="1"/>
    <xf numFmtId="10" fontId="16" fillId="0" borderId="25" xfId="0" applyNumberFormat="1" applyFont="1" applyFill="1" applyBorder="1"/>
    <xf numFmtId="10" fontId="16" fillId="0" borderId="27" xfId="0" applyNumberFormat="1" applyFont="1" applyFill="1" applyBorder="1"/>
    <xf numFmtId="4" fontId="3" fillId="0" borderId="68" xfId="0" applyNumberFormat="1" applyFont="1" applyFill="1" applyBorder="1" applyAlignment="1">
      <alignment horizontal="right"/>
    </xf>
    <xf numFmtId="4" fontId="16" fillId="0" borderId="12" xfId="0" applyNumberFormat="1" applyFont="1" applyFill="1" applyBorder="1"/>
    <xf numFmtId="4" fontId="16" fillId="0" borderId="0" xfId="0" applyNumberFormat="1" applyFont="1" applyFill="1" applyBorder="1"/>
    <xf numFmtId="4" fontId="24" fillId="0" borderId="0" xfId="0" applyNumberFormat="1" applyFont="1" applyFill="1" applyBorder="1"/>
    <xf numFmtId="4" fontId="16" fillId="0" borderId="10" xfId="0" applyNumberFormat="1" applyFont="1" applyFill="1" applyBorder="1"/>
    <xf numFmtId="4" fontId="16" fillId="0" borderId="30" xfId="0" applyNumberFormat="1" applyFont="1" applyFill="1" applyBorder="1"/>
    <xf numFmtId="10" fontId="16" fillId="0" borderId="12" xfId="0" applyNumberFormat="1" applyFont="1" applyFill="1" applyBorder="1"/>
    <xf numFmtId="10" fontId="16" fillId="0" borderId="10" xfId="0" applyNumberFormat="1" applyFont="1" applyFill="1" applyBorder="1"/>
    <xf numFmtId="4" fontId="16" fillId="0" borderId="29" xfId="0" applyNumberFormat="1" applyFont="1" applyFill="1" applyBorder="1"/>
    <xf numFmtId="4" fontId="24" fillId="0" borderId="30" xfId="0" applyNumberFormat="1" applyFont="1" applyFill="1" applyBorder="1"/>
    <xf numFmtId="4" fontId="16" fillId="0" borderId="31" xfId="0" applyNumberFormat="1" applyFont="1" applyFill="1" applyBorder="1"/>
    <xf numFmtId="4" fontId="0" fillId="0" borderId="69" xfId="0" applyNumberFormat="1" applyFill="1" applyBorder="1"/>
    <xf numFmtId="4" fontId="3" fillId="0" borderId="31" xfId="0" applyNumberFormat="1" applyFont="1" applyFill="1" applyBorder="1"/>
    <xf numFmtId="0" fontId="23" fillId="0" borderId="70" xfId="0" applyFont="1" applyFill="1" applyBorder="1"/>
    <xf numFmtId="4" fontId="0" fillId="0" borderId="71" xfId="0" applyNumberFormat="1" applyFill="1" applyBorder="1"/>
    <xf numFmtId="4" fontId="0" fillId="0" borderId="54" xfId="0" applyNumberFormat="1" applyFill="1" applyBorder="1"/>
    <xf numFmtId="4" fontId="16" fillId="0" borderId="55" xfId="0" applyNumberFormat="1" applyFont="1" applyFill="1" applyBorder="1" applyAlignment="1">
      <alignment horizontal="left"/>
    </xf>
    <xf numFmtId="4" fontId="3" fillId="0" borderId="72" xfId="0" applyNumberFormat="1" applyFont="1" applyFill="1" applyBorder="1"/>
    <xf numFmtId="10" fontId="10" fillId="0" borderId="15" xfId="0" applyNumberFormat="1" applyFont="1" applyFill="1" applyBorder="1"/>
    <xf numFmtId="10" fontId="10" fillId="0" borderId="16" xfId="0" applyNumberFormat="1" applyFont="1" applyFill="1" applyBorder="1"/>
    <xf numFmtId="10" fontId="10" fillId="0" borderId="17" xfId="0" applyNumberFormat="1" applyFont="1" applyFill="1" applyBorder="1"/>
    <xf numFmtId="0" fontId="0" fillId="0" borderId="70" xfId="0" applyNumberFormat="1" applyFill="1" applyBorder="1"/>
    <xf numFmtId="4" fontId="3" fillId="0" borderId="55" xfId="0" applyNumberFormat="1" applyFont="1" applyFill="1" applyBorder="1" applyAlignment="1">
      <alignment horizontal="right"/>
    </xf>
    <xf numFmtId="2" fontId="3" fillId="0" borderId="72" xfId="0" applyNumberFormat="1" applyFont="1" applyFill="1" applyBorder="1"/>
    <xf numFmtId="0" fontId="31" fillId="0" borderId="73" xfId="0" applyFont="1" applyFill="1" applyBorder="1" applyAlignment="1">
      <alignment vertical="center"/>
    </xf>
    <xf numFmtId="0" fontId="0" fillId="0" borderId="74" xfId="0" applyBorder="1" applyAlignment="1">
      <alignment vertical="center"/>
    </xf>
    <xf numFmtId="0" fontId="3" fillId="0" borderId="75" xfId="0" applyFont="1" applyFill="1" applyBorder="1" applyAlignment="1">
      <alignment vertical="center"/>
    </xf>
    <xf numFmtId="0" fontId="0" fillId="0" borderId="76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77" xfId="0" applyBorder="1" applyAlignment="1">
      <alignment vertical="center"/>
    </xf>
    <xf numFmtId="0" fontId="3" fillId="0" borderId="78" xfId="0" applyFont="1" applyFill="1" applyBorder="1" applyAlignment="1">
      <alignment vertical="center"/>
    </xf>
    <xf numFmtId="0" fontId="31" fillId="0" borderId="79" xfId="0" applyFont="1" applyFill="1" applyBorder="1" applyAlignment="1">
      <alignment vertical="center"/>
    </xf>
    <xf numFmtId="0" fontId="10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0" fillId="0" borderId="6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/>
    </xf>
    <xf numFmtId="0" fontId="31" fillId="0" borderId="80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76" xfId="0" applyFont="1" applyFill="1" applyBorder="1" applyAlignment="1">
      <alignment vertical="center"/>
    </xf>
    <xf numFmtId="0" fontId="25" fillId="0" borderId="81" xfId="0" applyFont="1" applyFill="1" applyBorder="1" applyAlignment="1">
      <alignment horizontal="center" wrapText="1"/>
    </xf>
    <xf numFmtId="0" fontId="25" fillId="0" borderId="40" xfId="0" applyFont="1" applyFill="1" applyBorder="1" applyAlignment="1">
      <alignment horizontal="center" wrapText="1"/>
    </xf>
    <xf numFmtId="0" fontId="45" fillId="0" borderId="73" xfId="0" applyFont="1" applyFill="1" applyBorder="1" applyAlignment="1">
      <alignment vertical="center"/>
    </xf>
    <xf numFmtId="0" fontId="45" fillId="0" borderId="74" xfId="0" applyFont="1" applyBorder="1" applyAlignment="1">
      <alignment vertical="center"/>
    </xf>
    <xf numFmtId="0" fontId="11" fillId="0" borderId="0" xfId="0" applyFont="1" applyFill="1" applyAlignment="1" applyProtection="1">
      <protection hidden="1"/>
    </xf>
    <xf numFmtId="0" fontId="11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16" fillId="0" borderId="0" xfId="0" applyFont="1" applyFill="1" applyAlignment="1" applyProtection="1">
      <alignment horizontal="left" shrinkToFit="1"/>
      <protection hidden="1"/>
    </xf>
    <xf numFmtId="0" fontId="3" fillId="0" borderId="0" xfId="0" applyFont="1" applyFill="1" applyAlignment="1" applyProtection="1">
      <alignment shrinkToFit="1"/>
      <protection hidden="1"/>
    </xf>
    <xf numFmtId="0" fontId="1" fillId="0" borderId="64" xfId="0" applyFont="1" applyFill="1" applyBorder="1" applyAlignment="1" applyProtection="1">
      <alignment vertical="justify"/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Alignment="1">
      <alignment horizontal="right"/>
    </xf>
    <xf numFmtId="0" fontId="16" fillId="0" borderId="0" xfId="0" applyFont="1" applyFill="1" applyBorder="1" applyAlignment="1" applyProtection="1">
      <alignment horizontal="justify" vertical="top" wrapText="1"/>
      <protection hidden="1"/>
    </xf>
    <xf numFmtId="0" fontId="16" fillId="0" borderId="0" xfId="0" applyFont="1" applyFill="1" applyAlignment="1">
      <alignment horizontal="justify" vertical="top" wrapText="1"/>
    </xf>
    <xf numFmtId="0" fontId="3" fillId="0" borderId="0" xfId="0" applyFont="1" applyFill="1" applyBorder="1" applyAlignment="1" applyProtection="1">
      <alignment vertical="top"/>
      <protection hidden="1"/>
    </xf>
    <xf numFmtId="0" fontId="12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3" fillId="0" borderId="0" xfId="0" applyFont="1" applyFill="1" applyAlignment="1" applyProtection="1">
      <alignment horizontal="left" vertical="center" shrinkToFit="1"/>
      <protection hidden="1"/>
    </xf>
    <xf numFmtId="0" fontId="3" fillId="0" borderId="0" xfId="0" applyFont="1" applyFill="1" applyBorder="1" applyAlignment="1" applyProtection="1">
      <alignment wrapText="1" shrinkToFit="1"/>
      <protection locked="0"/>
    </xf>
    <xf numFmtId="0" fontId="3" fillId="0" borderId="0" xfId="0" applyFont="1" applyFill="1" applyAlignment="1">
      <alignment wrapText="1" shrinkToFit="1"/>
    </xf>
    <xf numFmtId="0" fontId="11" fillId="0" borderId="0" xfId="0" applyFont="1" applyFill="1" applyAlignment="1" applyProtection="1">
      <alignment horizontal="left"/>
      <protection hidden="1"/>
    </xf>
    <xf numFmtId="0" fontId="3" fillId="0" borderId="0" xfId="0" applyFont="1" applyFill="1" applyAlignment="1" applyProtection="1">
      <alignment vertical="top" wrapText="1" shrinkToFit="1"/>
      <protection locked="0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0" fillId="0" borderId="0" xfId="0" applyFill="1" applyAlignment="1">
      <alignment vertical="top" wrapText="1"/>
    </xf>
    <xf numFmtId="0" fontId="3" fillId="0" borderId="0" xfId="0" applyFont="1" applyFill="1" applyBorder="1" applyAlignment="1" applyProtection="1">
      <alignment horizontal="justify" vertical="top"/>
    </xf>
    <xf numFmtId="0" fontId="0" fillId="0" borderId="0" xfId="0" applyAlignment="1">
      <alignment horizontal="justify" vertical="top"/>
    </xf>
    <xf numFmtId="0" fontId="3" fillId="0" borderId="0" xfId="0" applyFont="1" applyFill="1" applyAlignment="1">
      <alignment horizontal="justify" vertical="top"/>
    </xf>
    <xf numFmtId="0" fontId="3" fillId="0" borderId="0" xfId="0" applyFont="1" applyFill="1" applyBorder="1" applyAlignment="1" applyProtection="1">
      <alignment horizontal="justify" wrapText="1" shrinkToFit="1"/>
      <protection locked="0"/>
    </xf>
    <xf numFmtId="0" fontId="3" fillId="0" borderId="0" xfId="0" applyFont="1" applyFill="1" applyAlignment="1">
      <alignment horizontal="justify" wrapText="1" shrinkToFit="1"/>
    </xf>
    <xf numFmtId="0" fontId="3" fillId="0" borderId="0" xfId="0" applyFont="1" applyFill="1" applyAlignment="1" applyProtection="1">
      <alignment horizontal="justify" vertical="top" wrapText="1" shrinkToFit="1"/>
      <protection locked="0"/>
    </xf>
    <xf numFmtId="0" fontId="11" fillId="0" borderId="0" xfId="0" applyFont="1" applyFill="1" applyAlignment="1" applyProtection="1">
      <alignment horizontal="left" shrinkToFit="1"/>
      <protection hidden="1"/>
    </xf>
    <xf numFmtId="0" fontId="27" fillId="0" borderId="0" xfId="0" applyFont="1" applyFill="1" applyBorder="1" applyAlignment="1" applyProtection="1">
      <alignment vertical="top" wrapText="1" shrinkToFit="1"/>
      <protection locked="0"/>
    </xf>
    <xf numFmtId="0" fontId="3" fillId="0" borderId="0" xfId="0" applyFont="1" applyFill="1" applyAlignment="1">
      <alignment vertical="top" wrapText="1" shrinkToFit="1"/>
    </xf>
    <xf numFmtId="0" fontId="3" fillId="0" borderId="0" xfId="0" applyFont="1" applyFill="1" applyBorder="1" applyAlignment="1" applyProtection="1">
      <alignment horizontal="justify" vertical="justify" wrapText="1" shrinkToFit="1"/>
      <protection locked="0"/>
    </xf>
    <xf numFmtId="0" fontId="3" fillId="0" borderId="0" xfId="0" applyFont="1" applyFill="1" applyAlignment="1">
      <alignment horizontal="justify" vertical="justify" wrapText="1"/>
    </xf>
    <xf numFmtId="0" fontId="3" fillId="0" borderId="0" xfId="0" applyFont="1" applyFill="1" applyBorder="1" applyAlignment="1" applyProtection="1">
      <alignment vertical="justify" wrapText="1"/>
      <protection hidden="1"/>
    </xf>
    <xf numFmtId="0" fontId="0" fillId="0" borderId="0" xfId="0" applyAlignment="1">
      <alignment vertical="justify" wrapText="1"/>
    </xf>
    <xf numFmtId="0" fontId="43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indexed="11"/>
  </sheetPr>
  <dimension ref="A1:R116"/>
  <sheetViews>
    <sheetView topLeftCell="A85" zoomScaleNormal="100" workbookViewId="0">
      <selection activeCell="B85" sqref="B85:B86"/>
    </sheetView>
  </sheetViews>
  <sheetFormatPr defaultRowHeight="12.75" x14ac:dyDescent="0.2"/>
  <cols>
    <col min="1" max="1" width="5.85546875" style="72" customWidth="1"/>
    <col min="2" max="2" width="45.7109375" style="72" customWidth="1"/>
    <col min="3" max="4" width="17.7109375" style="72" customWidth="1"/>
    <col min="5" max="5" width="14.5703125" style="72" customWidth="1"/>
    <col min="6" max="6" width="14.28515625" style="72" customWidth="1"/>
    <col min="7" max="7" width="10.7109375" style="72" customWidth="1"/>
    <col min="8" max="9" width="11.28515625" style="72" customWidth="1"/>
    <col min="10" max="13" width="10.7109375" style="72" customWidth="1"/>
    <col min="14" max="15" width="0" style="72" hidden="1" customWidth="1"/>
    <col min="16" max="16" width="11.28515625" style="72" hidden="1" customWidth="1"/>
    <col min="17" max="16384" width="9.140625" style="72"/>
  </cols>
  <sheetData>
    <row r="1" spans="1:16" s="5" customFormat="1" ht="20.25" x14ac:dyDescent="0.3">
      <c r="A1" s="208" t="s">
        <v>37</v>
      </c>
      <c r="B1" s="4"/>
      <c r="C1" s="209"/>
      <c r="D1" s="209"/>
      <c r="E1" s="72"/>
      <c r="F1" s="72"/>
      <c r="G1" s="72"/>
      <c r="H1" s="72"/>
      <c r="I1" s="210"/>
      <c r="M1" s="210" t="s">
        <v>38</v>
      </c>
    </row>
    <row r="2" spans="1:16" s="5" customFormat="1" ht="15" x14ac:dyDescent="0.2">
      <c r="A2" s="211" t="s">
        <v>240</v>
      </c>
      <c r="B2" s="4"/>
      <c r="C2" s="209"/>
      <c r="D2" s="212"/>
      <c r="E2" s="72"/>
      <c r="F2" s="72"/>
      <c r="G2" s="72"/>
      <c r="H2" s="72"/>
      <c r="I2" s="72"/>
    </row>
    <row r="3" spans="1:16" s="5" customFormat="1" ht="15" x14ac:dyDescent="0.2">
      <c r="A3" s="211" t="s">
        <v>142</v>
      </c>
      <c r="B3" s="4"/>
      <c r="C3" s="209"/>
      <c r="D3" s="212"/>
      <c r="E3" s="72"/>
      <c r="F3" s="72"/>
      <c r="G3" s="72"/>
      <c r="H3" s="72"/>
      <c r="I3" s="72"/>
    </row>
    <row r="4" spans="1:16" s="5" customFormat="1" ht="30" customHeight="1" x14ac:dyDescent="0.2">
      <c r="A4" s="72"/>
      <c r="B4" s="4"/>
      <c r="C4" s="209"/>
      <c r="D4" s="209"/>
      <c r="E4" s="72"/>
      <c r="F4" s="72"/>
      <c r="G4" s="72"/>
      <c r="H4" s="72"/>
      <c r="I4" s="72"/>
    </row>
    <row r="5" spans="1:16" s="5" customFormat="1" ht="20.25" x14ac:dyDescent="0.3">
      <c r="A5" s="213" t="s">
        <v>313</v>
      </c>
      <c r="B5" s="4"/>
      <c r="C5" s="209"/>
      <c r="D5" s="209"/>
      <c r="E5" s="72"/>
      <c r="F5" s="72"/>
      <c r="G5" s="72"/>
      <c r="H5" s="72"/>
      <c r="I5" s="72"/>
    </row>
    <row r="6" spans="1:16" s="5" customFormat="1" ht="20.100000000000001" customHeight="1" thickBot="1" x14ac:dyDescent="0.25">
      <c r="A6" s="72"/>
      <c r="B6" s="4"/>
      <c r="C6" s="209"/>
      <c r="D6" s="209"/>
      <c r="E6" s="72"/>
      <c r="F6" s="72"/>
      <c r="G6" s="72"/>
      <c r="H6" s="72"/>
      <c r="I6" s="214" t="s">
        <v>39</v>
      </c>
      <c r="M6" s="308" t="s">
        <v>120</v>
      </c>
    </row>
    <row r="7" spans="1:16" s="5" customFormat="1" ht="32.1" customHeight="1" thickTop="1" x14ac:dyDescent="0.25">
      <c r="A7" s="215" t="s">
        <v>40</v>
      </c>
      <c r="B7" s="216" t="s">
        <v>41</v>
      </c>
      <c r="C7" s="217" t="s">
        <v>42</v>
      </c>
      <c r="D7" s="218"/>
      <c r="E7" s="219" t="s">
        <v>3</v>
      </c>
      <c r="F7" s="220" t="s">
        <v>4</v>
      </c>
      <c r="G7" s="221" t="s">
        <v>43</v>
      </c>
      <c r="H7" s="383" t="s">
        <v>44</v>
      </c>
      <c r="I7" s="384"/>
      <c r="J7" s="222" t="s">
        <v>45</v>
      </c>
      <c r="K7" s="223"/>
      <c r="L7" s="378" t="s">
        <v>46</v>
      </c>
      <c r="M7" s="224"/>
      <c r="O7" s="5" t="s">
        <v>39</v>
      </c>
    </row>
    <row r="8" spans="1:16" s="5" customFormat="1" ht="20.100000000000001" customHeight="1" thickBot="1" x14ac:dyDescent="0.3">
      <c r="A8" s="225"/>
      <c r="B8" s="226"/>
      <c r="C8" s="227"/>
      <c r="D8" s="228"/>
      <c r="E8" s="229"/>
      <c r="F8" s="230"/>
      <c r="G8" s="231"/>
      <c r="H8" s="232" t="s">
        <v>47</v>
      </c>
      <c r="I8" s="233" t="s">
        <v>48</v>
      </c>
      <c r="J8" s="234" t="s">
        <v>7</v>
      </c>
      <c r="K8" s="235" t="s">
        <v>6</v>
      </c>
      <c r="L8" s="379"/>
      <c r="M8" s="236" t="s">
        <v>49</v>
      </c>
    </row>
    <row r="9" spans="1:16" s="5" customFormat="1" ht="12.75" customHeight="1" thickTop="1" x14ac:dyDescent="0.2">
      <c r="A9" s="381">
        <v>1000</v>
      </c>
      <c r="B9" s="380" t="s">
        <v>242</v>
      </c>
      <c r="C9" s="6" t="s">
        <v>50</v>
      </c>
      <c r="D9" s="7" t="s">
        <v>51</v>
      </c>
      <c r="E9" s="8">
        <f>'1000'!G15</f>
        <v>10402</v>
      </c>
      <c r="F9" s="9">
        <f>'1000'!G17</f>
        <v>10463</v>
      </c>
      <c r="G9" s="10">
        <v>0</v>
      </c>
      <c r="H9" s="38">
        <f>F9-E9-G9</f>
        <v>61</v>
      </c>
      <c r="I9" s="37">
        <v>0</v>
      </c>
      <c r="J9" s="338">
        <f>'1000'!G29</f>
        <v>54460.01</v>
      </c>
      <c r="K9" s="339">
        <f>'1000'!G28</f>
        <v>7000</v>
      </c>
      <c r="L9" s="340">
        <f>'1000'!G30</f>
        <v>0.52</v>
      </c>
      <c r="M9" s="341">
        <f>J9+K9</f>
        <v>61460.01</v>
      </c>
      <c r="O9" s="5" t="s">
        <v>322</v>
      </c>
      <c r="P9" s="5">
        <f>44-P10-P11</f>
        <v>37</v>
      </c>
    </row>
    <row r="10" spans="1:16" s="5" customFormat="1" ht="12" customHeight="1" x14ac:dyDescent="0.2">
      <c r="A10" s="382"/>
      <c r="B10" s="369"/>
      <c r="C10" s="6"/>
      <c r="D10" s="43"/>
      <c r="E10" s="45"/>
      <c r="F10" s="40"/>
      <c r="G10" s="46"/>
      <c r="H10" s="21"/>
      <c r="I10" s="39"/>
      <c r="J10" s="342">
        <f>J9/M9</f>
        <v>0.88610480213068632</v>
      </c>
      <c r="K10" s="50">
        <f>K9/M9</f>
        <v>0.11389519786931372</v>
      </c>
      <c r="L10" s="50">
        <v>0</v>
      </c>
      <c r="M10" s="343">
        <f>J10+K10</f>
        <v>1</v>
      </c>
      <c r="O10" s="5" t="s">
        <v>320</v>
      </c>
      <c r="P10" s="5">
        <v>4</v>
      </c>
    </row>
    <row r="11" spans="1:16" s="5" customFormat="1" ht="12" customHeight="1" x14ac:dyDescent="0.2">
      <c r="A11" s="370">
        <v>1001</v>
      </c>
      <c r="B11" s="368" t="s">
        <v>243</v>
      </c>
      <c r="C11" s="237" t="s">
        <v>52</v>
      </c>
      <c r="D11" s="67" t="s">
        <v>53</v>
      </c>
      <c r="E11" s="44">
        <f>'1001'!G15</f>
        <v>2614</v>
      </c>
      <c r="F11" s="64">
        <f>'1001'!G17</f>
        <v>2614</v>
      </c>
      <c r="G11" s="238">
        <v>0</v>
      </c>
      <c r="H11" s="47">
        <f>F11-E11-G11</f>
        <v>0</v>
      </c>
      <c r="I11" s="344">
        <v>0</v>
      </c>
      <c r="J11" s="345">
        <f>'1001'!G29</f>
        <v>175.32</v>
      </c>
      <c r="K11" s="346">
        <f>'1001'!G28</f>
        <v>0</v>
      </c>
      <c r="L11" s="347">
        <f>'1001'!G30</f>
        <v>0</v>
      </c>
      <c r="M11" s="348">
        <f>J11+K11</f>
        <v>175.32</v>
      </c>
      <c r="N11" s="337" t="s">
        <v>323</v>
      </c>
      <c r="O11" s="5" t="s">
        <v>321</v>
      </c>
      <c r="P11" s="5">
        <v>3</v>
      </c>
    </row>
    <row r="12" spans="1:16" s="5" customFormat="1" ht="12" customHeight="1" x14ac:dyDescent="0.2">
      <c r="A12" s="371"/>
      <c r="B12" s="369"/>
      <c r="C12" s="239"/>
      <c r="D12" s="240"/>
      <c r="E12" s="241"/>
      <c r="F12" s="242"/>
      <c r="G12" s="242"/>
      <c r="H12" s="312"/>
      <c r="I12" s="313"/>
      <c r="J12" s="342">
        <f>J11/M11</f>
        <v>1</v>
      </c>
      <c r="K12" s="50">
        <f>K11/M11</f>
        <v>0</v>
      </c>
      <c r="L12" s="50">
        <v>0</v>
      </c>
      <c r="M12" s="343">
        <f>J12+K12</f>
        <v>1</v>
      </c>
      <c r="N12" s="52"/>
    </row>
    <row r="13" spans="1:16" s="5" customFormat="1" ht="12" customHeight="1" x14ac:dyDescent="0.2">
      <c r="A13" s="370">
        <v>1010</v>
      </c>
      <c r="B13" s="368" t="s">
        <v>244</v>
      </c>
      <c r="C13" s="243" t="s">
        <v>55</v>
      </c>
      <c r="D13" s="67" t="s">
        <v>56</v>
      </c>
      <c r="E13" s="65">
        <f>'1010'!G15</f>
        <v>6200</v>
      </c>
      <c r="F13" s="63">
        <f>'1010'!G17</f>
        <v>6200</v>
      </c>
      <c r="G13" s="238">
        <v>0</v>
      </c>
      <c r="H13" s="21">
        <f>F13-E13-G13</f>
        <v>0</v>
      </c>
      <c r="I13" s="314">
        <v>0</v>
      </c>
      <c r="J13" s="345">
        <f>'1010'!G29</f>
        <v>0</v>
      </c>
      <c r="K13" s="346">
        <f>'1010'!G28</f>
        <v>0</v>
      </c>
      <c r="L13" s="347">
        <v>0</v>
      </c>
      <c r="M13" s="348">
        <f>J13+K13+L13</f>
        <v>0</v>
      </c>
      <c r="O13" s="5" t="s">
        <v>120</v>
      </c>
    </row>
    <row r="14" spans="1:16" s="5" customFormat="1" ht="12" customHeight="1" x14ac:dyDescent="0.2">
      <c r="A14" s="371"/>
      <c r="B14" s="369"/>
      <c r="C14" s="244"/>
      <c r="D14" s="67"/>
      <c r="E14" s="245"/>
      <c r="F14" s="242"/>
      <c r="G14" s="246"/>
      <c r="H14" s="53"/>
      <c r="I14" s="314"/>
      <c r="J14" s="342">
        <v>0</v>
      </c>
      <c r="K14" s="50">
        <v>0</v>
      </c>
      <c r="L14" s="50">
        <v>0</v>
      </c>
      <c r="M14" s="343">
        <f>J14+K14+L14</f>
        <v>0</v>
      </c>
      <c r="O14" s="5" t="s">
        <v>322</v>
      </c>
      <c r="P14" s="5">
        <f>44-P15-P16</f>
        <v>36</v>
      </c>
    </row>
    <row r="15" spans="1:16" s="5" customFormat="1" ht="12" customHeight="1" x14ac:dyDescent="0.2">
      <c r="A15" s="370">
        <v>1012</v>
      </c>
      <c r="B15" s="368" t="s">
        <v>34</v>
      </c>
      <c r="C15" s="247" t="s">
        <v>143</v>
      </c>
      <c r="D15" s="61" t="s">
        <v>63</v>
      </c>
      <c r="E15" s="65">
        <f>'1012'!G15</f>
        <v>27831</v>
      </c>
      <c r="F15" s="63">
        <f>'1012'!G17</f>
        <v>27850</v>
      </c>
      <c r="G15" s="238">
        <v>0</v>
      </c>
      <c r="H15" s="21">
        <f>F15-E15-G15</f>
        <v>19</v>
      </c>
      <c r="I15" s="315">
        <v>0</v>
      </c>
      <c r="J15" s="345">
        <f>'1012'!G29</f>
        <v>12286.61</v>
      </c>
      <c r="K15" s="346">
        <f>'1012'!G28</f>
        <v>7000</v>
      </c>
      <c r="L15" s="347">
        <f>'1012'!G30</f>
        <v>0</v>
      </c>
      <c r="M15" s="348">
        <f t="shared" ref="M15:M20" si="0">J15+K15</f>
        <v>19286.61</v>
      </c>
      <c r="O15" s="5" t="s">
        <v>320</v>
      </c>
      <c r="P15" s="5">
        <v>4</v>
      </c>
    </row>
    <row r="16" spans="1:16" s="5" customFormat="1" ht="12" customHeight="1" x14ac:dyDescent="0.2">
      <c r="A16" s="371"/>
      <c r="B16" s="369"/>
      <c r="C16" s="239"/>
      <c r="D16" s="248"/>
      <c r="E16" s="245"/>
      <c r="F16" s="242"/>
      <c r="G16" s="246"/>
      <c r="H16" s="54"/>
      <c r="I16" s="313"/>
      <c r="J16" s="342">
        <f>J15/M15</f>
        <v>0.6370538938672996</v>
      </c>
      <c r="K16" s="50">
        <f>K15/M15</f>
        <v>0.36294610613270034</v>
      </c>
      <c r="L16" s="50">
        <v>0</v>
      </c>
      <c r="M16" s="343">
        <f t="shared" si="0"/>
        <v>1</v>
      </c>
      <c r="O16" s="5" t="s">
        <v>321</v>
      </c>
      <c r="P16" s="5">
        <v>4</v>
      </c>
    </row>
    <row r="17" spans="1:16" s="5" customFormat="1" ht="12" customHeight="1" x14ac:dyDescent="0.2">
      <c r="A17" s="370">
        <v>1013</v>
      </c>
      <c r="B17" s="368" t="s">
        <v>245</v>
      </c>
      <c r="C17" s="249" t="s">
        <v>283</v>
      </c>
      <c r="D17" s="67" t="s">
        <v>61</v>
      </c>
      <c r="E17" s="65">
        <f>'1013'!G15</f>
        <v>15835</v>
      </c>
      <c r="F17" s="63">
        <f>'1013'!G17</f>
        <v>15845</v>
      </c>
      <c r="G17" s="238">
        <v>0</v>
      </c>
      <c r="H17" s="21">
        <f>F17-E17-G17</f>
        <v>10</v>
      </c>
      <c r="I17" s="314">
        <v>0</v>
      </c>
      <c r="J17" s="345">
        <f>'1013'!G29</f>
        <v>10083.459999999999</v>
      </c>
      <c r="K17" s="346">
        <f>'1013'!G28</f>
        <v>0</v>
      </c>
      <c r="L17" s="347">
        <f>'1013'!G30</f>
        <v>0</v>
      </c>
      <c r="M17" s="348">
        <f t="shared" si="0"/>
        <v>10083.459999999999</v>
      </c>
    </row>
    <row r="18" spans="1:16" s="5" customFormat="1" ht="12" customHeight="1" x14ac:dyDescent="0.2">
      <c r="A18" s="371"/>
      <c r="B18" s="369"/>
      <c r="C18" s="249"/>
      <c r="D18" s="67"/>
      <c r="E18" s="245"/>
      <c r="F18" s="242"/>
      <c r="G18" s="246"/>
      <c r="H18" s="54"/>
      <c r="I18" s="314"/>
      <c r="J18" s="342">
        <f>J17/M17</f>
        <v>1</v>
      </c>
      <c r="K18" s="50">
        <f>K17/M17</f>
        <v>0</v>
      </c>
      <c r="L18" s="50">
        <v>0</v>
      </c>
      <c r="M18" s="343">
        <f t="shared" si="0"/>
        <v>1</v>
      </c>
    </row>
    <row r="19" spans="1:16" s="5" customFormat="1" ht="12" customHeight="1" x14ac:dyDescent="0.2">
      <c r="A19" s="370">
        <v>1014</v>
      </c>
      <c r="B19" s="368" t="s">
        <v>246</v>
      </c>
      <c r="C19" s="60" t="s">
        <v>62</v>
      </c>
      <c r="D19" s="61" t="s">
        <v>63</v>
      </c>
      <c r="E19" s="65">
        <f>'1014'!G15</f>
        <v>29668</v>
      </c>
      <c r="F19" s="63">
        <f>'1014'!G17</f>
        <v>29776</v>
      </c>
      <c r="G19" s="238">
        <v>0</v>
      </c>
      <c r="H19" s="21">
        <f>F19-E19-G19</f>
        <v>108</v>
      </c>
      <c r="I19" s="315">
        <v>0</v>
      </c>
      <c r="J19" s="345">
        <f>'1014'!G29</f>
        <v>105800</v>
      </c>
      <c r="K19" s="346">
        <f>'1014'!G28</f>
        <v>2000</v>
      </c>
      <c r="L19" s="347">
        <f>'1014'!G30</f>
        <v>0</v>
      </c>
      <c r="M19" s="348">
        <f t="shared" si="0"/>
        <v>107800</v>
      </c>
    </row>
    <row r="20" spans="1:16" s="5" customFormat="1" ht="12" customHeight="1" x14ac:dyDescent="0.2">
      <c r="A20" s="371"/>
      <c r="B20" s="369"/>
      <c r="C20" s="250"/>
      <c r="D20" s="240"/>
      <c r="E20" s="245"/>
      <c r="F20" s="242"/>
      <c r="G20" s="246"/>
      <c r="H20" s="55"/>
      <c r="I20" s="314"/>
      <c r="J20" s="342">
        <f>J19/M19</f>
        <v>0.98144712430426717</v>
      </c>
      <c r="K20" s="50">
        <f>K19/M19</f>
        <v>1.8552875695732839E-2</v>
      </c>
      <c r="L20" s="50">
        <v>0</v>
      </c>
      <c r="M20" s="343">
        <f t="shared" si="0"/>
        <v>1</v>
      </c>
      <c r="P20" s="5">
        <f>102+14+10</f>
        <v>126</v>
      </c>
    </row>
    <row r="21" spans="1:16" s="5" customFormat="1" ht="12" customHeight="1" x14ac:dyDescent="0.2">
      <c r="A21" s="370">
        <v>1015</v>
      </c>
      <c r="B21" s="368" t="s">
        <v>25</v>
      </c>
      <c r="C21" s="251" t="s">
        <v>58</v>
      </c>
      <c r="D21" s="252" t="s">
        <v>59</v>
      </c>
      <c r="E21" s="65">
        <f>'1015'!G15</f>
        <v>21483</v>
      </c>
      <c r="F21" s="63">
        <f>'1015'!G17</f>
        <v>21571</v>
      </c>
      <c r="G21" s="238">
        <v>0</v>
      </c>
      <c r="H21" s="21">
        <f>F21-E21-G21</f>
        <v>88</v>
      </c>
      <c r="I21" s="315">
        <v>0</v>
      </c>
      <c r="J21" s="345">
        <f>'1015'!G29</f>
        <v>73292.600000000006</v>
      </c>
      <c r="K21" s="346">
        <f>'1015'!G28</f>
        <v>13000</v>
      </c>
      <c r="L21" s="346">
        <f>'1015'!G30</f>
        <v>0</v>
      </c>
      <c r="M21" s="348">
        <f>J21+K21+L21</f>
        <v>86292.6</v>
      </c>
      <c r="P21" s="5">
        <f>101+14+11</f>
        <v>126</v>
      </c>
    </row>
    <row r="22" spans="1:16" s="5" customFormat="1" ht="12" customHeight="1" x14ac:dyDescent="0.2">
      <c r="A22" s="371"/>
      <c r="B22" s="369"/>
      <c r="C22" s="251"/>
      <c r="D22" s="248" t="s">
        <v>60</v>
      </c>
      <c r="E22" s="245"/>
      <c r="F22" s="242"/>
      <c r="G22" s="246"/>
      <c r="H22" s="53"/>
      <c r="I22" s="314"/>
      <c r="J22" s="342">
        <f>J21/M21</f>
        <v>0.84934977043222715</v>
      </c>
      <c r="K22" s="50">
        <f>K21/M21</f>
        <v>0.15065022956777288</v>
      </c>
      <c r="L22" s="50">
        <f>L21/M21</f>
        <v>0</v>
      </c>
      <c r="M22" s="343">
        <f>J22+K22+L22</f>
        <v>1</v>
      </c>
    </row>
    <row r="23" spans="1:16" s="5" customFormat="1" ht="12" customHeight="1" x14ac:dyDescent="0.2">
      <c r="A23" s="370">
        <v>1032</v>
      </c>
      <c r="B23" s="368" t="s">
        <v>247</v>
      </c>
      <c r="C23" s="237" t="s">
        <v>64</v>
      </c>
      <c r="D23" s="67" t="s">
        <v>57</v>
      </c>
      <c r="E23" s="65">
        <f>'1032'!G15</f>
        <v>8487</v>
      </c>
      <c r="F23" s="63">
        <f>'1032'!G17</f>
        <v>8510</v>
      </c>
      <c r="G23" s="238">
        <v>0</v>
      </c>
      <c r="H23" s="21">
        <f>F23-E23-G23</f>
        <v>23</v>
      </c>
      <c r="I23" s="315">
        <v>0</v>
      </c>
      <c r="J23" s="345">
        <f>'1032'!G31</f>
        <v>13930</v>
      </c>
      <c r="K23" s="346">
        <f>'1032'!G30</f>
        <v>10000</v>
      </c>
      <c r="L23" s="347">
        <f>'1032'!G32</f>
        <v>0</v>
      </c>
      <c r="M23" s="348">
        <f>J23+K23+L23</f>
        <v>23930</v>
      </c>
    </row>
    <row r="24" spans="1:16" s="5" customFormat="1" ht="12" customHeight="1" x14ac:dyDescent="0.2">
      <c r="A24" s="371"/>
      <c r="B24" s="369"/>
      <c r="C24" s="239"/>
      <c r="D24" s="240"/>
      <c r="E24" s="245"/>
      <c r="F24" s="242"/>
      <c r="G24" s="246"/>
      <c r="H24" s="53"/>
      <c r="I24" s="314"/>
      <c r="J24" s="342">
        <f>J23/M23</f>
        <v>0.58211450062682824</v>
      </c>
      <c r="K24" s="50">
        <f>K23/M23</f>
        <v>0.41788549937317176</v>
      </c>
      <c r="L24" s="50">
        <f>L23/M23</f>
        <v>0</v>
      </c>
      <c r="M24" s="343">
        <f>J24+K24+L24</f>
        <v>1</v>
      </c>
    </row>
    <row r="25" spans="1:16" s="5" customFormat="1" ht="12" customHeight="1" x14ac:dyDescent="0.2">
      <c r="A25" s="370">
        <v>1033</v>
      </c>
      <c r="B25" s="368" t="s">
        <v>248</v>
      </c>
      <c r="C25" s="247" t="s">
        <v>65</v>
      </c>
      <c r="D25" s="67" t="s">
        <v>66</v>
      </c>
      <c r="E25" s="65">
        <f>'1033'!G15</f>
        <v>6436</v>
      </c>
      <c r="F25" s="63">
        <f>'1033'!G17</f>
        <v>6471</v>
      </c>
      <c r="G25" s="238">
        <v>0</v>
      </c>
      <c r="H25" s="21">
        <f>F25-E25-G25</f>
        <v>35</v>
      </c>
      <c r="I25" s="315">
        <v>0</v>
      </c>
      <c r="J25" s="345">
        <f>'1033'!G29</f>
        <v>4008.39</v>
      </c>
      <c r="K25" s="346">
        <f>'1033'!G28</f>
        <v>0</v>
      </c>
      <c r="L25" s="349">
        <f>'1033'!G30</f>
        <v>32164.12</v>
      </c>
      <c r="M25" s="348">
        <f>J25+K25+L25</f>
        <v>36172.51</v>
      </c>
    </row>
    <row r="26" spans="1:16" s="5" customFormat="1" ht="12" customHeight="1" x14ac:dyDescent="0.2">
      <c r="A26" s="371"/>
      <c r="B26" s="369"/>
      <c r="C26" s="251"/>
      <c r="D26" s="67"/>
      <c r="E26" s="245"/>
      <c r="F26" s="242"/>
      <c r="G26" s="246"/>
      <c r="H26" s="53"/>
      <c r="I26" s="313"/>
      <c r="J26" s="342">
        <v>0</v>
      </c>
      <c r="K26" s="50">
        <v>0</v>
      </c>
      <c r="L26" s="50">
        <v>0</v>
      </c>
      <c r="M26" s="343">
        <f>J26+K26</f>
        <v>0</v>
      </c>
    </row>
    <row r="27" spans="1:16" s="5" customFormat="1" ht="12" customHeight="1" x14ac:dyDescent="0.2">
      <c r="A27" s="370">
        <v>1034</v>
      </c>
      <c r="B27" s="368" t="s">
        <v>249</v>
      </c>
      <c r="C27" s="237" t="s">
        <v>67</v>
      </c>
      <c r="D27" s="61" t="s">
        <v>61</v>
      </c>
      <c r="E27" s="65">
        <f>'1034'!G15</f>
        <v>13883</v>
      </c>
      <c r="F27" s="63">
        <f>'1034'!G17</f>
        <v>13932</v>
      </c>
      <c r="G27" s="238">
        <v>0</v>
      </c>
      <c r="H27" s="21">
        <f>F27-E27-G27</f>
        <v>49</v>
      </c>
      <c r="I27" s="314">
        <v>0</v>
      </c>
      <c r="J27" s="345">
        <f>'1034'!G29</f>
        <v>39699.379999999997</v>
      </c>
      <c r="K27" s="346">
        <f>'1034'!G28</f>
        <v>10000</v>
      </c>
      <c r="L27" s="347">
        <f>'1034'!G30</f>
        <v>0</v>
      </c>
      <c r="M27" s="348">
        <f>J27+K27</f>
        <v>49699.38</v>
      </c>
    </row>
    <row r="28" spans="1:16" s="5" customFormat="1" ht="12" customHeight="1" x14ac:dyDescent="0.2">
      <c r="A28" s="371"/>
      <c r="B28" s="369"/>
      <c r="C28" s="239"/>
      <c r="D28" s="240"/>
      <c r="E28" s="245"/>
      <c r="F28" s="242"/>
      <c r="G28" s="246"/>
      <c r="H28" s="53"/>
      <c r="I28" s="313"/>
      <c r="J28" s="342">
        <f>J27/M27</f>
        <v>0.79879024647792385</v>
      </c>
      <c r="K28" s="50">
        <f>K27/M27</f>
        <v>0.20120975352207615</v>
      </c>
      <c r="L28" s="50">
        <f>L27/M27</f>
        <v>0</v>
      </c>
      <c r="M28" s="343">
        <f>J28+K28</f>
        <v>1</v>
      </c>
    </row>
    <row r="29" spans="1:16" s="5" customFormat="1" ht="12" customHeight="1" x14ac:dyDescent="0.2">
      <c r="A29" s="370">
        <v>1044</v>
      </c>
      <c r="B29" s="368" t="s">
        <v>247</v>
      </c>
      <c r="C29" s="247" t="s">
        <v>68</v>
      </c>
      <c r="D29" s="67" t="s">
        <v>100</v>
      </c>
      <c r="E29" s="65">
        <f>'1044'!G15</f>
        <v>4696</v>
      </c>
      <c r="F29" s="63">
        <f>'1044'!G17</f>
        <v>4697</v>
      </c>
      <c r="G29" s="238">
        <v>0</v>
      </c>
      <c r="H29" s="21">
        <f>F29-E29-G29</f>
        <v>1</v>
      </c>
      <c r="I29" s="314">
        <v>0</v>
      </c>
      <c r="J29" s="345">
        <f>'1044'!G29</f>
        <v>0</v>
      </c>
      <c r="K29" s="346">
        <f>'1044'!G28</f>
        <v>0</v>
      </c>
      <c r="L29" s="347">
        <f>'1044'!G30</f>
        <v>0</v>
      </c>
      <c r="M29" s="348">
        <f>J29+K29</f>
        <v>0</v>
      </c>
      <c r="N29" s="337" t="s">
        <v>323</v>
      </c>
    </row>
    <row r="30" spans="1:16" s="5" customFormat="1" ht="12" customHeight="1" x14ac:dyDescent="0.2">
      <c r="A30" s="371"/>
      <c r="B30" s="369"/>
      <c r="C30" s="239"/>
      <c r="D30" s="240"/>
      <c r="E30" s="245"/>
      <c r="F30" s="242"/>
      <c r="G30" s="246"/>
      <c r="H30" s="54"/>
      <c r="I30" s="313"/>
      <c r="J30" s="342">
        <v>0</v>
      </c>
      <c r="K30" s="50">
        <v>0</v>
      </c>
      <c r="L30" s="50">
        <v>0</v>
      </c>
      <c r="M30" s="343">
        <v>0</v>
      </c>
    </row>
    <row r="31" spans="1:16" s="5" customFormat="1" ht="12" customHeight="1" x14ac:dyDescent="0.2">
      <c r="A31" s="370">
        <v>1100</v>
      </c>
      <c r="B31" s="368" t="s">
        <v>250</v>
      </c>
      <c r="C31" s="251" t="s">
        <v>69</v>
      </c>
      <c r="D31" s="67" t="s">
        <v>61</v>
      </c>
      <c r="E31" s="65">
        <f>'1100'!G15</f>
        <v>21313</v>
      </c>
      <c r="F31" s="63">
        <f>'1100'!G17</f>
        <v>21328</v>
      </c>
      <c r="G31" s="238">
        <f>'1100'!G21</f>
        <v>0</v>
      </c>
      <c r="H31" s="21">
        <f>F31-E31-G31</f>
        <v>15</v>
      </c>
      <c r="I31" s="314">
        <v>0</v>
      </c>
      <c r="J31" s="345">
        <f>'1100'!G29</f>
        <v>13843.79</v>
      </c>
      <c r="K31" s="346">
        <f>'1100'!G28</f>
        <v>1000</v>
      </c>
      <c r="L31" s="347">
        <f>'1100'!G30</f>
        <v>0</v>
      </c>
      <c r="M31" s="348">
        <f t="shared" ref="M31:M36" si="1">J31+K31+L31</f>
        <v>14843.79</v>
      </c>
    </row>
    <row r="32" spans="1:16" s="5" customFormat="1" ht="12" customHeight="1" x14ac:dyDescent="0.2">
      <c r="A32" s="371"/>
      <c r="B32" s="369"/>
      <c r="C32" s="250"/>
      <c r="D32" s="240"/>
      <c r="E32" s="65"/>
      <c r="F32" s="63"/>
      <c r="G32" s="242"/>
      <c r="H32" s="53"/>
      <c r="I32" s="313"/>
      <c r="J32" s="30">
        <f>J31/M31</f>
        <v>0.93263176048704544</v>
      </c>
      <c r="K32" s="22">
        <f>K31/M31</f>
        <v>6.7368239512954578E-2</v>
      </c>
      <c r="L32" s="22">
        <f>L31/M31</f>
        <v>0</v>
      </c>
      <c r="M32" s="51">
        <f t="shared" si="1"/>
        <v>1</v>
      </c>
    </row>
    <row r="33" spans="1:13" s="5" customFormat="1" ht="12" customHeight="1" x14ac:dyDescent="0.2">
      <c r="A33" s="370">
        <v>1101</v>
      </c>
      <c r="B33" s="368" t="s">
        <v>251</v>
      </c>
      <c r="C33" s="251" t="s">
        <v>70</v>
      </c>
      <c r="D33" s="67" t="s">
        <v>53</v>
      </c>
      <c r="E33" s="62">
        <f>'1101'!G15</f>
        <v>32713</v>
      </c>
      <c r="F33" s="64">
        <f>'1101'!G17</f>
        <v>32913</v>
      </c>
      <c r="G33" s="238">
        <v>0</v>
      </c>
      <c r="H33" s="21">
        <f>F33-E33-G33</f>
        <v>200</v>
      </c>
      <c r="I33" s="314">
        <v>0</v>
      </c>
      <c r="J33" s="56">
        <f>'1101'!G29</f>
        <v>182872.19</v>
      </c>
      <c r="K33" s="57">
        <f>'1101'!G28</f>
        <v>15000</v>
      </c>
      <c r="L33" s="57">
        <f>'1101'!G30</f>
        <v>0</v>
      </c>
      <c r="M33" s="23">
        <f t="shared" si="1"/>
        <v>197872.19</v>
      </c>
    </row>
    <row r="34" spans="1:13" s="5" customFormat="1" ht="12" customHeight="1" x14ac:dyDescent="0.2">
      <c r="A34" s="371"/>
      <c r="B34" s="369"/>
      <c r="C34" s="250"/>
      <c r="D34" s="253"/>
      <c r="E34" s="245"/>
      <c r="F34" s="242"/>
      <c r="G34" s="246"/>
      <c r="H34" s="54"/>
      <c r="I34" s="313"/>
      <c r="J34" s="48">
        <f>J33/M33</f>
        <v>0.92419349075784729</v>
      </c>
      <c r="K34" s="49">
        <f>K33/M33</f>
        <v>7.5806509242152723E-2</v>
      </c>
      <c r="L34" s="49">
        <f>L33/M33</f>
        <v>0</v>
      </c>
      <c r="M34" s="51">
        <f t="shared" si="1"/>
        <v>1</v>
      </c>
    </row>
    <row r="35" spans="1:13" s="5" customFormat="1" ht="12" customHeight="1" x14ac:dyDescent="0.2">
      <c r="A35" s="370">
        <v>1102</v>
      </c>
      <c r="B35" s="368" t="s">
        <v>252</v>
      </c>
      <c r="C35" s="254" t="s">
        <v>282</v>
      </c>
      <c r="D35" s="61" t="s">
        <v>71</v>
      </c>
      <c r="E35" s="62">
        <f>'1102'!G15</f>
        <v>53879</v>
      </c>
      <c r="F35" s="64">
        <f>'1102'!G17</f>
        <v>53881</v>
      </c>
      <c r="G35" s="64">
        <v>0</v>
      </c>
      <c r="H35" s="47">
        <f>F35-E35-G35</f>
        <v>2</v>
      </c>
      <c r="I35" s="315">
        <v>0</v>
      </c>
      <c r="J35" s="19">
        <f>'1102'!G29</f>
        <v>0</v>
      </c>
      <c r="K35" s="20">
        <f>'1102'!G28</f>
        <v>0</v>
      </c>
      <c r="L35" s="20">
        <f>'1102'!G30</f>
        <v>1340.77</v>
      </c>
      <c r="M35" s="59">
        <f t="shared" si="1"/>
        <v>1340.77</v>
      </c>
    </row>
    <row r="36" spans="1:13" s="5" customFormat="1" ht="12" customHeight="1" x14ac:dyDescent="0.2">
      <c r="A36" s="371"/>
      <c r="B36" s="369"/>
      <c r="C36" s="255"/>
      <c r="D36" s="253"/>
      <c r="E36" s="245"/>
      <c r="F36" s="242"/>
      <c r="G36" s="246"/>
      <c r="H36" s="54"/>
      <c r="I36" s="313"/>
      <c r="J36" s="48">
        <f>J35/M35</f>
        <v>0</v>
      </c>
      <c r="K36" s="49">
        <f>K35/M35</f>
        <v>0</v>
      </c>
      <c r="L36" s="49">
        <f>L35/M35</f>
        <v>1</v>
      </c>
      <c r="M36" s="51">
        <f t="shared" si="1"/>
        <v>1</v>
      </c>
    </row>
    <row r="37" spans="1:13" s="5" customFormat="1" ht="12" customHeight="1" x14ac:dyDescent="0.2">
      <c r="A37" s="370">
        <v>1103</v>
      </c>
      <c r="B37" s="368" t="s">
        <v>253</v>
      </c>
      <c r="C37" s="254" t="s">
        <v>72</v>
      </c>
      <c r="D37" s="256" t="s">
        <v>73</v>
      </c>
      <c r="E37" s="62">
        <f>'1103'!G15</f>
        <v>71590</v>
      </c>
      <c r="F37" s="64">
        <f>'1103'!G17</f>
        <v>70954</v>
      </c>
      <c r="G37" s="64">
        <v>0</v>
      </c>
      <c r="H37" s="323">
        <v>0</v>
      </c>
      <c r="I37" s="324">
        <f>F37-E37-G37</f>
        <v>-636</v>
      </c>
      <c r="J37" s="330">
        <f>'1103'!G29</f>
        <v>0</v>
      </c>
      <c r="K37" s="331">
        <f>'1103'!G28</f>
        <v>0</v>
      </c>
      <c r="L37" s="332">
        <v>0</v>
      </c>
      <c r="M37" s="333">
        <v>0</v>
      </c>
    </row>
    <row r="38" spans="1:13" s="5" customFormat="1" ht="12" customHeight="1" x14ac:dyDescent="0.2">
      <c r="A38" s="371"/>
      <c r="B38" s="369"/>
      <c r="C38" s="66"/>
      <c r="D38" s="257" t="s">
        <v>74</v>
      </c>
      <c r="E38" s="65"/>
      <c r="F38" s="63"/>
      <c r="G38" s="238"/>
      <c r="H38" s="325"/>
      <c r="I38" s="326"/>
      <c r="J38" s="48">
        <v>0</v>
      </c>
      <c r="K38" s="49">
        <v>0</v>
      </c>
      <c r="L38" s="49">
        <v>0</v>
      </c>
      <c r="M38" s="51">
        <v>0</v>
      </c>
    </row>
    <row r="39" spans="1:13" s="5" customFormat="1" ht="12" customHeight="1" x14ac:dyDescent="0.2">
      <c r="A39" s="370">
        <v>1104</v>
      </c>
      <c r="B39" s="368" t="s">
        <v>251</v>
      </c>
      <c r="C39" s="254" t="s">
        <v>75</v>
      </c>
      <c r="D39" s="61" t="s">
        <v>57</v>
      </c>
      <c r="E39" s="62">
        <f>'1104'!G15</f>
        <v>29514</v>
      </c>
      <c r="F39" s="64">
        <f>'1104'!G17</f>
        <v>29436</v>
      </c>
      <c r="G39" s="64">
        <v>0</v>
      </c>
      <c r="H39" s="327">
        <v>0</v>
      </c>
      <c r="I39" s="328">
        <f>F39-E39-G39</f>
        <v>-78</v>
      </c>
      <c r="J39" s="334">
        <f>'1104'!G29</f>
        <v>0</v>
      </c>
      <c r="K39" s="332">
        <f>'1104'!G28</f>
        <v>0</v>
      </c>
      <c r="L39" s="335">
        <v>0</v>
      </c>
      <c r="M39" s="336">
        <f>J39+K39</f>
        <v>0</v>
      </c>
    </row>
    <row r="40" spans="1:13" s="5" customFormat="1" ht="12" customHeight="1" x14ac:dyDescent="0.2">
      <c r="A40" s="371"/>
      <c r="B40" s="369"/>
      <c r="C40" s="66"/>
      <c r="D40" s="67"/>
      <c r="E40" s="65"/>
      <c r="F40" s="63"/>
      <c r="G40" s="238"/>
      <c r="H40" s="327"/>
      <c r="I40" s="326"/>
      <c r="J40" s="48">
        <v>0</v>
      </c>
      <c r="K40" s="49">
        <v>0</v>
      </c>
      <c r="L40" s="49">
        <v>0</v>
      </c>
      <c r="M40" s="51">
        <f>J40+K40</f>
        <v>0</v>
      </c>
    </row>
    <row r="41" spans="1:13" s="5" customFormat="1" ht="12" customHeight="1" x14ac:dyDescent="0.2">
      <c r="A41" s="370">
        <v>1105</v>
      </c>
      <c r="B41" s="368" t="s">
        <v>253</v>
      </c>
      <c r="C41" s="254" t="s">
        <v>76</v>
      </c>
      <c r="D41" s="258" t="s">
        <v>66</v>
      </c>
      <c r="E41" s="259">
        <f>'1105'!G15</f>
        <v>20254</v>
      </c>
      <c r="F41" s="260">
        <f>'1105'!G17</f>
        <v>20403</v>
      </c>
      <c r="G41" s="260">
        <v>0</v>
      </c>
      <c r="H41" s="47">
        <f>F41-E41-G41</f>
        <v>149</v>
      </c>
      <c r="I41" s="316">
        <v>0</v>
      </c>
      <c r="J41" s="68">
        <f>'1105'!G29</f>
        <v>133148.03</v>
      </c>
      <c r="K41" s="20">
        <f>'1105'!G28</f>
        <v>15000</v>
      </c>
      <c r="L41" s="28">
        <f>'1105'!G30</f>
        <v>0</v>
      </c>
      <c r="M41" s="23">
        <f>J41+K41</f>
        <v>148148.03</v>
      </c>
    </row>
    <row r="42" spans="1:13" s="5" customFormat="1" ht="12" customHeight="1" x14ac:dyDescent="0.2">
      <c r="A42" s="371"/>
      <c r="B42" s="369"/>
      <c r="C42" s="66"/>
      <c r="D42" s="240"/>
      <c r="E42" s="241"/>
      <c r="F42" s="242"/>
      <c r="G42" s="242"/>
      <c r="H42" s="21"/>
      <c r="I42" s="313"/>
      <c r="J42" s="48">
        <f>J41/M41</f>
        <v>0.89874991925306058</v>
      </c>
      <c r="K42" s="49">
        <f>K41/M41</f>
        <v>0.10125008074693939</v>
      </c>
      <c r="L42" s="49">
        <v>0</v>
      </c>
      <c r="M42" s="51">
        <f>J42+K42</f>
        <v>1</v>
      </c>
    </row>
    <row r="43" spans="1:13" s="5" customFormat="1" ht="12" customHeight="1" x14ac:dyDescent="0.2">
      <c r="A43" s="370">
        <v>1120</v>
      </c>
      <c r="B43" s="368" t="s">
        <v>35</v>
      </c>
      <c r="C43" s="254" t="s">
        <v>77</v>
      </c>
      <c r="D43" s="67" t="s">
        <v>53</v>
      </c>
      <c r="E43" s="65">
        <f>'1120'!G15</f>
        <v>36453</v>
      </c>
      <c r="F43" s="63">
        <f>'1120'!G17</f>
        <v>36553</v>
      </c>
      <c r="G43" s="238">
        <v>0</v>
      </c>
      <c r="H43" s="47">
        <f>F43-E43-G43</f>
        <v>100</v>
      </c>
      <c r="I43" s="314">
        <v>-9.5E-4</v>
      </c>
      <c r="J43" s="19">
        <f>'1120'!G29</f>
        <v>89879.23</v>
      </c>
      <c r="K43" s="20">
        <f>'1120'!G28</f>
        <v>10000</v>
      </c>
      <c r="L43" s="28">
        <v>0</v>
      </c>
      <c r="M43" s="23">
        <f>J43+K43</f>
        <v>99879.23</v>
      </c>
    </row>
    <row r="44" spans="1:13" s="5" customFormat="1" ht="12" customHeight="1" x14ac:dyDescent="0.2">
      <c r="A44" s="371"/>
      <c r="B44" s="369"/>
      <c r="C44" s="255"/>
      <c r="D44" s="253"/>
      <c r="E44" s="245"/>
      <c r="F44" s="242"/>
      <c r="G44" s="242"/>
      <c r="H44" s="54"/>
      <c r="I44" s="313"/>
      <c r="J44" s="48">
        <v>0</v>
      </c>
      <c r="K44" s="49">
        <v>0</v>
      </c>
      <c r="L44" s="49">
        <v>0</v>
      </c>
      <c r="M44" s="51">
        <v>0</v>
      </c>
    </row>
    <row r="45" spans="1:13" s="5" customFormat="1" ht="12" customHeight="1" x14ac:dyDescent="0.2">
      <c r="A45" s="370">
        <v>1121</v>
      </c>
      <c r="B45" s="368" t="s">
        <v>254</v>
      </c>
      <c r="C45" s="60" t="s">
        <v>78</v>
      </c>
      <c r="D45" s="61" t="s">
        <v>79</v>
      </c>
      <c r="E45" s="62">
        <f>'1121'!G15</f>
        <v>23899</v>
      </c>
      <c r="F45" s="64">
        <f>'1121'!G17</f>
        <v>23970</v>
      </c>
      <c r="G45" s="355">
        <v>0</v>
      </c>
      <c r="H45" s="47">
        <f>F45-E45-G45</f>
        <v>71</v>
      </c>
      <c r="I45" s="356">
        <v>0</v>
      </c>
      <c r="J45" s="56">
        <f>'1121'!G29</f>
        <v>55111.87</v>
      </c>
      <c r="K45" s="57">
        <f>'1121'!G28</f>
        <v>15000</v>
      </c>
      <c r="L45" s="57">
        <f>'1121'!G30</f>
        <v>0</v>
      </c>
      <c r="M45" s="59">
        <f>J45+K45+L45</f>
        <v>70111.87</v>
      </c>
    </row>
    <row r="46" spans="1:13" s="5" customFormat="1" ht="9.75" customHeight="1" thickBot="1" x14ac:dyDescent="0.25">
      <c r="A46" s="372"/>
      <c r="B46" s="373"/>
      <c r="C46" s="357"/>
      <c r="D46" s="273"/>
      <c r="E46" s="358"/>
      <c r="F46" s="274"/>
      <c r="G46" s="359"/>
      <c r="H46" s="360"/>
      <c r="I46" s="361"/>
      <c r="J46" s="362">
        <f>J45/M45</f>
        <v>0.78605619847252695</v>
      </c>
      <c r="K46" s="363">
        <f>K45/M45</f>
        <v>0.21394380152747319</v>
      </c>
      <c r="L46" s="363">
        <f>L45/M45</f>
        <v>0</v>
      </c>
      <c r="M46" s="364">
        <f>J46+K46+L46</f>
        <v>1.0000000000000002</v>
      </c>
    </row>
    <row r="47" spans="1:13" s="5" customFormat="1" ht="12" customHeight="1" thickTop="1" x14ac:dyDescent="0.2">
      <c r="A47" s="374">
        <v>1122</v>
      </c>
      <c r="B47" s="375" t="s">
        <v>255</v>
      </c>
      <c r="C47" s="243" t="s">
        <v>80</v>
      </c>
      <c r="D47" s="261" t="s">
        <v>66</v>
      </c>
      <c r="E47" s="65">
        <f>'1122'!G15</f>
        <v>27108</v>
      </c>
      <c r="F47" s="63">
        <f>'1122'!G17</f>
        <v>27246</v>
      </c>
      <c r="G47" s="63">
        <v>0</v>
      </c>
      <c r="H47" s="21">
        <f>F47-E47-G47</f>
        <v>138</v>
      </c>
      <c r="I47" s="317">
        <v>0</v>
      </c>
      <c r="J47" s="19">
        <f>'1122'!G29</f>
        <v>128292.61</v>
      </c>
      <c r="K47" s="20">
        <f>'1122'!G28</f>
        <v>10000</v>
      </c>
      <c r="L47" s="28">
        <f>'1122'!G30</f>
        <v>0</v>
      </c>
      <c r="M47" s="23">
        <f>J47+K47</f>
        <v>138292.60999999999</v>
      </c>
    </row>
    <row r="48" spans="1:13" s="5" customFormat="1" ht="12" customHeight="1" x14ac:dyDescent="0.2">
      <c r="A48" s="371"/>
      <c r="B48" s="369"/>
      <c r="C48" s="243"/>
      <c r="D48" s="67"/>
      <c r="E48" s="241"/>
      <c r="F48" s="63"/>
      <c r="G48" s="242"/>
      <c r="H48" s="21"/>
      <c r="I48" s="313"/>
      <c r="J48" s="48">
        <f>J47/M47</f>
        <v>0.92768955622429872</v>
      </c>
      <c r="K48" s="49">
        <f>K47/M47</f>
        <v>7.2310443775701394E-2</v>
      </c>
      <c r="L48" s="49">
        <v>0</v>
      </c>
      <c r="M48" s="51">
        <f>J48+K48</f>
        <v>1</v>
      </c>
    </row>
    <row r="49" spans="1:15" s="5" customFormat="1" ht="12" customHeight="1" x14ac:dyDescent="0.2">
      <c r="A49" s="370">
        <v>1123</v>
      </c>
      <c r="B49" s="368" t="s">
        <v>256</v>
      </c>
      <c r="C49" s="237" t="s">
        <v>81</v>
      </c>
      <c r="D49" s="61" t="s">
        <v>82</v>
      </c>
      <c r="E49" s="65">
        <f>'1123'!G15</f>
        <v>50401</v>
      </c>
      <c r="F49" s="64">
        <f>'1123'!G17</f>
        <v>50164</v>
      </c>
      <c r="G49" s="238">
        <f>'1123'!H21</f>
        <v>0</v>
      </c>
      <c r="H49" s="323">
        <v>0</v>
      </c>
      <c r="I49" s="328">
        <f>F49-E49-G49</f>
        <v>-237</v>
      </c>
      <c r="J49" s="334">
        <f>'1123'!G29</f>
        <v>0</v>
      </c>
      <c r="K49" s="332">
        <f>'1123'!G28</f>
        <v>0</v>
      </c>
      <c r="L49" s="332">
        <v>0</v>
      </c>
      <c r="M49" s="336">
        <f t="shared" ref="M49:M54" si="2">J49+K49+L49</f>
        <v>0</v>
      </c>
    </row>
    <row r="50" spans="1:15" s="5" customFormat="1" ht="12" customHeight="1" x14ac:dyDescent="0.2">
      <c r="A50" s="371"/>
      <c r="B50" s="369"/>
      <c r="C50" s="247"/>
      <c r="D50" s="240"/>
      <c r="E50" s="241"/>
      <c r="F50" s="63"/>
      <c r="G50" s="238"/>
      <c r="H50" s="29"/>
      <c r="I50" s="313"/>
      <c r="J50" s="48">
        <v>0</v>
      </c>
      <c r="K50" s="49">
        <v>0</v>
      </c>
      <c r="L50" s="49">
        <v>0</v>
      </c>
      <c r="M50" s="51">
        <f t="shared" si="2"/>
        <v>0</v>
      </c>
    </row>
    <row r="51" spans="1:15" s="5" customFormat="1" ht="12" customHeight="1" x14ac:dyDescent="0.2">
      <c r="A51" s="370">
        <v>1124</v>
      </c>
      <c r="B51" s="368" t="s">
        <v>257</v>
      </c>
      <c r="C51" s="60" t="s">
        <v>281</v>
      </c>
      <c r="D51" s="67" t="s">
        <v>84</v>
      </c>
      <c r="E51" s="65">
        <f>'1124'!G16</f>
        <v>4295</v>
      </c>
      <c r="F51" s="64">
        <f>'1124'!G18</f>
        <v>4295</v>
      </c>
      <c r="G51" s="64">
        <f>'1124'!G22</f>
        <v>0</v>
      </c>
      <c r="H51" s="47">
        <f>F51-E51-G51</f>
        <v>0</v>
      </c>
      <c r="I51" s="314">
        <v>0</v>
      </c>
      <c r="J51" s="345">
        <f>'1124'!G30</f>
        <v>0</v>
      </c>
      <c r="K51" s="346">
        <f>'1124'!G29</f>
        <v>0</v>
      </c>
      <c r="L51" s="346">
        <f>'1124'!G31</f>
        <v>0</v>
      </c>
      <c r="M51" s="348">
        <f t="shared" si="2"/>
        <v>0</v>
      </c>
      <c r="O51" s="321"/>
    </row>
    <row r="52" spans="1:15" s="5" customFormat="1" ht="12" customHeight="1" x14ac:dyDescent="0.2">
      <c r="A52" s="371"/>
      <c r="B52" s="369"/>
      <c r="C52" s="247"/>
      <c r="D52" s="67"/>
      <c r="E52" s="241"/>
      <c r="F52" s="63"/>
      <c r="G52" s="238"/>
      <c r="H52" s="21"/>
      <c r="I52" s="313"/>
      <c r="J52" s="342">
        <v>0</v>
      </c>
      <c r="K52" s="50">
        <v>0</v>
      </c>
      <c r="L52" s="50">
        <v>0</v>
      </c>
      <c r="M52" s="343">
        <f t="shared" si="2"/>
        <v>0</v>
      </c>
    </row>
    <row r="53" spans="1:15" s="5" customFormat="1" ht="12" customHeight="1" x14ac:dyDescent="0.2">
      <c r="A53" s="370">
        <v>1150</v>
      </c>
      <c r="B53" s="368" t="s">
        <v>258</v>
      </c>
      <c r="C53" s="262" t="s">
        <v>83</v>
      </c>
      <c r="D53" s="61" t="s">
        <v>71</v>
      </c>
      <c r="E53" s="65">
        <f>'1150'!G15</f>
        <v>28610</v>
      </c>
      <c r="F53" s="64">
        <f>'1150'!G17</f>
        <v>28632</v>
      </c>
      <c r="G53" s="64">
        <v>0</v>
      </c>
      <c r="H53" s="47">
        <f>F53-E53-G53</f>
        <v>22</v>
      </c>
      <c r="I53" s="317">
        <v>0</v>
      </c>
      <c r="J53" s="345">
        <f>'1150'!G29</f>
        <v>16883.05</v>
      </c>
      <c r="K53" s="346">
        <f>'1150'!G28</f>
        <v>5000</v>
      </c>
      <c r="L53" s="347">
        <f>'1150'!G30</f>
        <v>0</v>
      </c>
      <c r="M53" s="348">
        <f t="shared" si="2"/>
        <v>21883.05</v>
      </c>
      <c r="N53" s="19"/>
    </row>
    <row r="54" spans="1:15" s="5" customFormat="1" ht="12" customHeight="1" x14ac:dyDescent="0.2">
      <c r="A54" s="371"/>
      <c r="B54" s="369"/>
      <c r="C54" s="263"/>
      <c r="D54" s="240"/>
      <c r="E54" s="241"/>
      <c r="F54" s="242"/>
      <c r="G54" s="238"/>
      <c r="H54" s="21"/>
      <c r="I54" s="313"/>
      <c r="J54" s="350">
        <f>J53/M53</f>
        <v>0.77151265477161546</v>
      </c>
      <c r="K54" s="41">
        <f>K53/M53</f>
        <v>0.22848734522838454</v>
      </c>
      <c r="L54" s="41">
        <v>0</v>
      </c>
      <c r="M54" s="351">
        <f t="shared" si="2"/>
        <v>1</v>
      </c>
    </row>
    <row r="55" spans="1:15" s="5" customFormat="1" ht="12" customHeight="1" x14ac:dyDescent="0.2">
      <c r="A55" s="370">
        <v>1160</v>
      </c>
      <c r="B55" s="368" t="s">
        <v>284</v>
      </c>
      <c r="C55" s="251" t="s">
        <v>281</v>
      </c>
      <c r="D55" s="67" t="s">
        <v>84</v>
      </c>
      <c r="E55" s="65">
        <f>'1160'!G15</f>
        <v>59389</v>
      </c>
      <c r="F55" s="63">
        <f>'1160'!G17</f>
        <v>59527</v>
      </c>
      <c r="G55" s="64">
        <v>0</v>
      </c>
      <c r="H55" s="47">
        <f>F55-E55-G55</f>
        <v>138</v>
      </c>
      <c r="I55" s="317">
        <v>0</v>
      </c>
      <c r="J55" s="352">
        <f>'1160'!G29</f>
        <v>139152.82</v>
      </c>
      <c r="K55" s="349">
        <f>'1160'!G28</f>
        <v>0</v>
      </c>
      <c r="L55" s="353">
        <f>'1160'!G30</f>
        <v>0</v>
      </c>
      <c r="M55" s="354">
        <f t="shared" ref="M55:M62" si="3">J55+K55</f>
        <v>139152.82</v>
      </c>
    </row>
    <row r="56" spans="1:15" s="5" customFormat="1" ht="12" customHeight="1" x14ac:dyDescent="0.2">
      <c r="A56" s="371"/>
      <c r="B56" s="369"/>
      <c r="C56" s="251"/>
      <c r="D56" s="67"/>
      <c r="E56" s="241"/>
      <c r="F56" s="242"/>
      <c r="G56" s="238"/>
      <c r="H56" s="21"/>
      <c r="I56" s="317"/>
      <c r="J56" s="350">
        <f>J55/M55</f>
        <v>1</v>
      </c>
      <c r="K56" s="41">
        <f>K55/M55</f>
        <v>0</v>
      </c>
      <c r="L56" s="41">
        <v>0</v>
      </c>
      <c r="M56" s="343">
        <f t="shared" si="3"/>
        <v>1</v>
      </c>
    </row>
    <row r="57" spans="1:15" s="5" customFormat="1" ht="12" customHeight="1" x14ac:dyDescent="0.2">
      <c r="A57" s="370">
        <v>1170</v>
      </c>
      <c r="B57" s="368" t="s">
        <v>259</v>
      </c>
      <c r="C57" s="60" t="s">
        <v>85</v>
      </c>
      <c r="D57" s="61" t="s">
        <v>86</v>
      </c>
      <c r="E57" s="65">
        <f>'1170'!G15</f>
        <v>30194</v>
      </c>
      <c r="F57" s="63">
        <f>'1170'!G17</f>
        <v>30195</v>
      </c>
      <c r="G57" s="64">
        <v>0</v>
      </c>
      <c r="H57" s="47">
        <f>F57-E57-G57</f>
        <v>1</v>
      </c>
      <c r="I57" s="315">
        <v>0</v>
      </c>
      <c r="J57" s="352">
        <f>'1170'!G29</f>
        <v>195.23</v>
      </c>
      <c r="K57" s="349">
        <f>'1170'!G28</f>
        <v>780.93</v>
      </c>
      <c r="L57" s="353">
        <f>'1170'!G30</f>
        <v>0</v>
      </c>
      <c r="M57" s="348">
        <f t="shared" si="3"/>
        <v>976.16</v>
      </c>
    </row>
    <row r="58" spans="1:15" s="5" customFormat="1" ht="12" customHeight="1" x14ac:dyDescent="0.2">
      <c r="A58" s="371"/>
      <c r="B58" s="369"/>
      <c r="C58" s="251"/>
      <c r="D58" s="240"/>
      <c r="E58" s="65"/>
      <c r="F58" s="63"/>
      <c r="G58" s="238"/>
      <c r="H58" s="21"/>
      <c r="I58" s="313"/>
      <c r="J58" s="342">
        <f>J57/M57</f>
        <v>0.19999795115554828</v>
      </c>
      <c r="K58" s="50">
        <f>K57/M57</f>
        <v>0.8000020488444517</v>
      </c>
      <c r="L58" s="50">
        <v>0</v>
      </c>
      <c r="M58" s="343">
        <f t="shared" si="3"/>
        <v>1</v>
      </c>
    </row>
    <row r="59" spans="1:15" s="5" customFormat="1" ht="12" customHeight="1" x14ac:dyDescent="0.2">
      <c r="A59" s="370">
        <v>1200</v>
      </c>
      <c r="B59" s="368" t="s">
        <v>302</v>
      </c>
      <c r="C59" s="60" t="s">
        <v>87</v>
      </c>
      <c r="D59" s="67" t="s">
        <v>61</v>
      </c>
      <c r="E59" s="62">
        <f>'1200'!G15</f>
        <v>19770</v>
      </c>
      <c r="F59" s="64">
        <f>'1200'!G17</f>
        <v>19776</v>
      </c>
      <c r="G59" s="64">
        <f>'1200'!G21</f>
        <v>0</v>
      </c>
      <c r="H59" s="47">
        <f>F59-E59-G59</f>
        <v>6</v>
      </c>
      <c r="I59" s="317">
        <v>0</v>
      </c>
      <c r="J59" s="345">
        <f>'1200'!G29</f>
        <v>1897.15</v>
      </c>
      <c r="K59" s="346">
        <f>'1200'!G28</f>
        <v>3700</v>
      </c>
      <c r="L59" s="347">
        <f>'1200'!G30</f>
        <v>0</v>
      </c>
      <c r="M59" s="348">
        <f t="shared" si="3"/>
        <v>5597.15</v>
      </c>
    </row>
    <row r="60" spans="1:15" s="5" customFormat="1" ht="12" customHeight="1" x14ac:dyDescent="0.2">
      <c r="A60" s="371"/>
      <c r="B60" s="369"/>
      <c r="C60" s="251"/>
      <c r="D60" s="67"/>
      <c r="E60" s="65"/>
      <c r="F60" s="63"/>
      <c r="G60" s="242"/>
      <c r="H60" s="21"/>
      <c r="I60" s="317"/>
      <c r="J60" s="350">
        <f>J59/M59</f>
        <v>0.33894928669054791</v>
      </c>
      <c r="K60" s="41">
        <f>K59/M59</f>
        <v>0.6610507133094522</v>
      </c>
      <c r="L60" s="41">
        <v>0</v>
      </c>
      <c r="M60" s="351">
        <f t="shared" si="3"/>
        <v>1</v>
      </c>
    </row>
    <row r="61" spans="1:15" s="5" customFormat="1" ht="12" customHeight="1" x14ac:dyDescent="0.2">
      <c r="A61" s="370">
        <v>1201</v>
      </c>
      <c r="B61" s="368" t="s">
        <v>260</v>
      </c>
      <c r="C61" s="60" t="s">
        <v>88</v>
      </c>
      <c r="D61" s="61" t="s">
        <v>89</v>
      </c>
      <c r="E61" s="62">
        <f>'1201'!G15</f>
        <v>28641</v>
      </c>
      <c r="F61" s="64">
        <f>'1201'!G17</f>
        <v>28646</v>
      </c>
      <c r="G61" s="238">
        <f>'1201'!G21</f>
        <v>0</v>
      </c>
      <c r="H61" s="47">
        <f>F61-E61-G61</f>
        <v>5</v>
      </c>
      <c r="I61" s="315">
        <v>0</v>
      </c>
      <c r="J61" s="352">
        <f>'1201'!G29</f>
        <v>4753.2</v>
      </c>
      <c r="K61" s="349">
        <f>'1201'!G28</f>
        <v>0</v>
      </c>
      <c r="L61" s="353">
        <f>'1201'!G30</f>
        <v>0</v>
      </c>
      <c r="M61" s="354">
        <f t="shared" si="3"/>
        <v>4753.2</v>
      </c>
    </row>
    <row r="62" spans="1:15" s="5" customFormat="1" ht="12" customHeight="1" x14ac:dyDescent="0.2">
      <c r="A62" s="371"/>
      <c r="B62" s="369"/>
      <c r="C62" s="250"/>
      <c r="D62" s="67"/>
      <c r="E62" s="65"/>
      <c r="F62" s="63"/>
      <c r="G62" s="238"/>
      <c r="H62" s="54"/>
      <c r="I62" s="317"/>
      <c r="J62" s="350">
        <f>J61/M61</f>
        <v>1</v>
      </c>
      <c r="K62" s="41">
        <f>K61/M61</f>
        <v>0</v>
      </c>
      <c r="L62" s="41">
        <v>0</v>
      </c>
      <c r="M62" s="351">
        <f t="shared" si="3"/>
        <v>1</v>
      </c>
    </row>
    <row r="63" spans="1:15" s="5" customFormat="1" ht="12" customHeight="1" x14ac:dyDescent="0.2">
      <c r="A63" s="370">
        <v>1202</v>
      </c>
      <c r="B63" s="368" t="s">
        <v>271</v>
      </c>
      <c r="C63" s="247" t="s">
        <v>272</v>
      </c>
      <c r="D63" s="61" t="s">
        <v>82</v>
      </c>
      <c r="E63" s="62">
        <f>'1202'!G15</f>
        <v>29471</v>
      </c>
      <c r="F63" s="64">
        <f>'1202'!G17</f>
        <v>29642</v>
      </c>
      <c r="G63" s="64">
        <v>0</v>
      </c>
      <c r="H63" s="21">
        <f>F63-E63-G63</f>
        <v>171</v>
      </c>
      <c r="I63" s="315">
        <v>0</v>
      </c>
      <c r="J63" s="352">
        <f>'1202'!G29</f>
        <v>149084</v>
      </c>
      <c r="K63" s="349">
        <f>'1202'!G28</f>
        <v>20000</v>
      </c>
      <c r="L63" s="353">
        <f>'1202'!G30</f>
        <v>0</v>
      </c>
      <c r="M63" s="354">
        <f t="shared" ref="M63:M74" si="4">J63+K63</f>
        <v>169084</v>
      </c>
    </row>
    <row r="64" spans="1:15" s="5" customFormat="1" ht="12" customHeight="1" x14ac:dyDescent="0.2">
      <c r="A64" s="371"/>
      <c r="B64" s="369"/>
      <c r="C64" s="239"/>
      <c r="D64" s="240"/>
      <c r="E64" s="245"/>
      <c r="F64" s="242"/>
      <c r="G64" s="242"/>
      <c r="H64" s="55"/>
      <c r="I64" s="313"/>
      <c r="J64" s="342">
        <f>J63/M63</f>
        <v>0.88171559698138202</v>
      </c>
      <c r="K64" s="50">
        <f>K63/M63</f>
        <v>0.11828440301861796</v>
      </c>
      <c r="L64" s="50">
        <v>0</v>
      </c>
      <c r="M64" s="343">
        <f t="shared" si="4"/>
        <v>1</v>
      </c>
    </row>
    <row r="65" spans="1:14" s="5" customFormat="1" ht="12" customHeight="1" x14ac:dyDescent="0.2">
      <c r="A65" s="370">
        <v>1204</v>
      </c>
      <c r="B65" s="368" t="s">
        <v>261</v>
      </c>
      <c r="C65" s="237" t="s">
        <v>90</v>
      </c>
      <c r="D65" s="61" t="s">
        <v>63</v>
      </c>
      <c r="E65" s="62">
        <f>'1204'!G15</f>
        <v>72844</v>
      </c>
      <c r="F65" s="63">
        <f>'1204'!G17</f>
        <v>73224</v>
      </c>
      <c r="G65" s="238">
        <f>'1204'!G21</f>
        <v>247</v>
      </c>
      <c r="H65" s="47">
        <f>F65-E65-G65</f>
        <v>133</v>
      </c>
      <c r="I65" s="315">
        <v>0</v>
      </c>
      <c r="J65" s="56">
        <f>'1204'!G29</f>
        <v>117652.84</v>
      </c>
      <c r="K65" s="20">
        <f>'1204'!G28</f>
        <v>15000</v>
      </c>
      <c r="L65" s="58">
        <f>'1204'!G30</f>
        <v>0</v>
      </c>
      <c r="M65" s="23">
        <f t="shared" si="4"/>
        <v>132652.84</v>
      </c>
    </row>
    <row r="66" spans="1:14" s="5" customFormat="1" ht="12" customHeight="1" x14ac:dyDescent="0.2">
      <c r="A66" s="371"/>
      <c r="B66" s="369"/>
      <c r="C66" s="239"/>
      <c r="D66" s="67"/>
      <c r="E66" s="241"/>
      <c r="F66" s="242"/>
      <c r="G66" s="242"/>
      <c r="H66" s="54"/>
      <c r="I66" s="313"/>
      <c r="J66" s="48">
        <f>J65/M65</f>
        <v>0.88692288834524768</v>
      </c>
      <c r="K66" s="22">
        <f>K65/M65</f>
        <v>0.11307711165475236</v>
      </c>
      <c r="L66" s="49">
        <v>0</v>
      </c>
      <c r="M66" s="51">
        <f t="shared" si="4"/>
        <v>1</v>
      </c>
    </row>
    <row r="67" spans="1:14" s="5" customFormat="1" ht="12" customHeight="1" x14ac:dyDescent="0.2">
      <c r="A67" s="370">
        <v>1205</v>
      </c>
      <c r="B67" s="368" t="s">
        <v>262</v>
      </c>
      <c r="C67" s="251" t="s">
        <v>280</v>
      </c>
      <c r="D67" s="61" t="s">
        <v>63</v>
      </c>
      <c r="E67" s="65">
        <f>'1205'!G15</f>
        <v>28093</v>
      </c>
      <c r="F67" s="63">
        <f>'1205'!G17</f>
        <v>28264</v>
      </c>
      <c r="G67" s="238">
        <f>'1205'!G21</f>
        <v>0</v>
      </c>
      <c r="H67" s="21">
        <f>F67-E67-G67</f>
        <v>171</v>
      </c>
      <c r="I67" s="317">
        <v>0</v>
      </c>
      <c r="J67" s="19">
        <f>'1205'!G29</f>
        <v>150587.06</v>
      </c>
      <c r="K67" s="57">
        <f>'1205'!G28</f>
        <v>20000</v>
      </c>
      <c r="L67" s="28">
        <f>'1205'!G30</f>
        <v>0</v>
      </c>
      <c r="M67" s="23">
        <f t="shared" si="4"/>
        <v>170587.06</v>
      </c>
    </row>
    <row r="68" spans="1:14" s="5" customFormat="1" ht="12" customHeight="1" x14ac:dyDescent="0.2">
      <c r="A68" s="371"/>
      <c r="B68" s="369"/>
      <c r="C68" s="250"/>
      <c r="D68" s="240"/>
      <c r="E68" s="241"/>
      <c r="F68" s="242"/>
      <c r="G68" s="242"/>
      <c r="H68" s="54"/>
      <c r="I68" s="313"/>
      <c r="J68" s="48">
        <f>J67/M67</f>
        <v>0.88275781293141464</v>
      </c>
      <c r="K68" s="49">
        <f>K67/M67</f>
        <v>0.11724218706858539</v>
      </c>
      <c r="L68" s="49">
        <v>0</v>
      </c>
      <c r="M68" s="51">
        <f t="shared" si="4"/>
        <v>1</v>
      </c>
    </row>
    <row r="69" spans="1:14" s="5" customFormat="1" ht="12" customHeight="1" x14ac:dyDescent="0.2">
      <c r="A69" s="370">
        <v>1206</v>
      </c>
      <c r="B69" s="368" t="s">
        <v>276</v>
      </c>
      <c r="C69" s="60" t="s">
        <v>91</v>
      </c>
      <c r="D69" s="61" t="s">
        <v>92</v>
      </c>
      <c r="E69" s="62">
        <f>'1206'!G15</f>
        <v>37302</v>
      </c>
      <c r="F69" s="63">
        <f>'1206'!G17</f>
        <v>37303</v>
      </c>
      <c r="G69" s="64">
        <v>0</v>
      </c>
      <c r="H69" s="47">
        <f>F69-E69-G69</f>
        <v>1</v>
      </c>
      <c r="I69" s="317">
        <v>0</v>
      </c>
      <c r="J69" s="56">
        <f>'1206'!G29</f>
        <v>0</v>
      </c>
      <c r="K69" s="57">
        <f>'1206'!G28</f>
        <v>0</v>
      </c>
      <c r="L69" s="58">
        <f>'1206'!G30</f>
        <v>0</v>
      </c>
      <c r="M69" s="59">
        <f t="shared" si="4"/>
        <v>0</v>
      </c>
      <c r="N69" s="337" t="s">
        <v>323</v>
      </c>
    </row>
    <row r="70" spans="1:14" s="5" customFormat="1" ht="12" customHeight="1" x14ac:dyDescent="0.2">
      <c r="A70" s="371"/>
      <c r="B70" s="369"/>
      <c r="C70" s="250"/>
      <c r="D70" s="253"/>
      <c r="E70" s="65"/>
      <c r="F70" s="63"/>
      <c r="G70" s="242"/>
      <c r="H70" s="21"/>
      <c r="I70" s="313"/>
      <c r="J70" s="48">
        <v>0</v>
      </c>
      <c r="K70" s="22">
        <v>0</v>
      </c>
      <c r="L70" s="22">
        <v>0</v>
      </c>
      <c r="M70" s="16">
        <f t="shared" si="4"/>
        <v>0</v>
      </c>
    </row>
    <row r="71" spans="1:14" s="5" customFormat="1" ht="12" customHeight="1" x14ac:dyDescent="0.2">
      <c r="A71" s="370">
        <v>1207</v>
      </c>
      <c r="B71" s="368" t="s">
        <v>263</v>
      </c>
      <c r="C71" s="66" t="s">
        <v>306</v>
      </c>
      <c r="D71" s="67" t="s">
        <v>53</v>
      </c>
      <c r="E71" s="62">
        <f>'1207'!G15</f>
        <v>36630</v>
      </c>
      <c r="F71" s="64">
        <f>'1207'!G17</f>
        <v>36723</v>
      </c>
      <c r="G71" s="238">
        <v>0</v>
      </c>
      <c r="H71" s="47">
        <f>F71-E71-G71</f>
        <v>93</v>
      </c>
      <c r="I71" s="317">
        <v>0</v>
      </c>
      <c r="J71" s="19">
        <f>'1207'!G29</f>
        <v>87486.31</v>
      </c>
      <c r="K71" s="57">
        <f>'1207'!G28</f>
        <v>4000</v>
      </c>
      <c r="L71" s="58">
        <f>'1207'!G30</f>
        <v>0</v>
      </c>
      <c r="M71" s="59">
        <f t="shared" si="4"/>
        <v>91486.31</v>
      </c>
    </row>
    <row r="72" spans="1:14" s="5" customFormat="1" ht="12" customHeight="1" x14ac:dyDescent="0.2">
      <c r="A72" s="371"/>
      <c r="B72" s="369"/>
      <c r="C72" s="255"/>
      <c r="D72" s="253"/>
      <c r="E72" s="65"/>
      <c r="F72" s="63"/>
      <c r="G72" s="238"/>
      <c r="H72" s="54"/>
      <c r="I72" s="317"/>
      <c r="J72" s="48">
        <f>J71/M71</f>
        <v>0.95627761137158118</v>
      </c>
      <c r="K72" s="49">
        <f>K71/M71</f>
        <v>4.3722388628418832E-2</v>
      </c>
      <c r="L72" s="49">
        <v>0</v>
      </c>
      <c r="M72" s="51">
        <f t="shared" si="4"/>
        <v>1</v>
      </c>
    </row>
    <row r="73" spans="1:14" s="5" customFormat="1" ht="12" customHeight="1" x14ac:dyDescent="0.2">
      <c r="A73" s="370">
        <v>1208</v>
      </c>
      <c r="B73" s="368" t="s">
        <v>36</v>
      </c>
      <c r="C73" s="66" t="s">
        <v>93</v>
      </c>
      <c r="D73" s="67" t="s">
        <v>57</v>
      </c>
      <c r="E73" s="62">
        <f>'1208'!G15</f>
        <v>29205</v>
      </c>
      <c r="F73" s="64">
        <f>'1208'!G17</f>
        <v>29221</v>
      </c>
      <c r="G73" s="64">
        <v>0</v>
      </c>
      <c r="H73" s="21">
        <f>F73-E73-G73</f>
        <v>16</v>
      </c>
      <c r="I73" s="315">
        <v>0</v>
      </c>
      <c r="J73" s="19">
        <f>'1208'!G29</f>
        <v>15828.71</v>
      </c>
      <c r="K73" s="20">
        <f>'1208'!G28</f>
        <v>0</v>
      </c>
      <c r="L73" s="28">
        <f>'1208'!G30</f>
        <v>0</v>
      </c>
      <c r="M73" s="23">
        <f t="shared" si="4"/>
        <v>15828.71</v>
      </c>
    </row>
    <row r="74" spans="1:14" s="5" customFormat="1" ht="12" customHeight="1" x14ac:dyDescent="0.2">
      <c r="A74" s="371"/>
      <c r="B74" s="369"/>
      <c r="C74" s="255"/>
      <c r="D74" s="253"/>
      <c r="E74" s="65"/>
      <c r="F74" s="63"/>
      <c r="G74" s="242"/>
      <c r="H74" s="21"/>
      <c r="I74" s="317"/>
      <c r="J74" s="48">
        <f>J73/M73</f>
        <v>1</v>
      </c>
      <c r="K74" s="49">
        <f>K73/M73</f>
        <v>0</v>
      </c>
      <c r="L74" s="49">
        <v>0</v>
      </c>
      <c r="M74" s="51">
        <f t="shared" si="4"/>
        <v>1</v>
      </c>
    </row>
    <row r="75" spans="1:14" s="5" customFormat="1" ht="12" customHeight="1" x14ac:dyDescent="0.2">
      <c r="A75" s="370">
        <v>1300</v>
      </c>
      <c r="B75" s="368" t="s">
        <v>264</v>
      </c>
      <c r="C75" s="264" t="s">
        <v>94</v>
      </c>
      <c r="D75" s="67" t="s">
        <v>63</v>
      </c>
      <c r="E75" s="62">
        <f>'1300'!G15</f>
        <v>15631</v>
      </c>
      <c r="F75" s="64">
        <f>'1300'!G17</f>
        <v>15678</v>
      </c>
      <c r="G75" s="238">
        <v>0</v>
      </c>
      <c r="H75" s="47">
        <f>F75-E75-G75</f>
        <v>47</v>
      </c>
      <c r="I75" s="315">
        <v>0</v>
      </c>
      <c r="J75" s="19">
        <f>'1300'!G29</f>
        <v>32895.86</v>
      </c>
      <c r="K75" s="20">
        <f>'1300'!G28</f>
        <v>12814.71</v>
      </c>
      <c r="L75" s="20">
        <f>'1300'!G30</f>
        <v>0</v>
      </c>
      <c r="M75" s="23">
        <f>J75+K75+L75</f>
        <v>45710.57</v>
      </c>
    </row>
    <row r="76" spans="1:14" s="5" customFormat="1" ht="12" customHeight="1" x14ac:dyDescent="0.2">
      <c r="A76" s="371"/>
      <c r="B76" s="369"/>
      <c r="C76" s="255"/>
      <c r="D76" s="253"/>
      <c r="E76" s="65"/>
      <c r="F76" s="63"/>
      <c r="G76" s="238"/>
      <c r="H76" s="29"/>
      <c r="I76" s="317"/>
      <c r="J76" s="48">
        <f>J75/M75</f>
        <v>0.71965543199308168</v>
      </c>
      <c r="K76" s="49">
        <f>K75/M75</f>
        <v>0.28034456800691832</v>
      </c>
      <c r="L76" s="49">
        <f>L75/M75</f>
        <v>0</v>
      </c>
      <c r="M76" s="51">
        <f>J76+K76+L76</f>
        <v>1</v>
      </c>
    </row>
    <row r="77" spans="1:14" s="5" customFormat="1" ht="12" customHeight="1" x14ac:dyDescent="0.2">
      <c r="A77" s="370">
        <v>1301</v>
      </c>
      <c r="B77" s="368" t="s">
        <v>265</v>
      </c>
      <c r="C77" s="66" t="s">
        <v>95</v>
      </c>
      <c r="D77" s="67" t="s">
        <v>53</v>
      </c>
      <c r="E77" s="62">
        <f>'1301'!G15</f>
        <v>30433</v>
      </c>
      <c r="F77" s="64">
        <f>'1301'!G17</f>
        <v>30520</v>
      </c>
      <c r="G77" s="64">
        <v>0</v>
      </c>
      <c r="H77" s="47">
        <f>F77-E77-G77</f>
        <v>87</v>
      </c>
      <c r="I77" s="315">
        <v>0</v>
      </c>
      <c r="J77" s="19">
        <f>'1301'!G29</f>
        <v>65362.52</v>
      </c>
      <c r="K77" s="20">
        <f>'1301'!G28</f>
        <v>20000</v>
      </c>
      <c r="L77" s="28">
        <f>'1301'!G30</f>
        <v>0</v>
      </c>
      <c r="M77" s="23">
        <f t="shared" ref="M77:M82" si="5">J77+K77</f>
        <v>85362.51999999999</v>
      </c>
    </row>
    <row r="78" spans="1:14" s="5" customFormat="1" ht="12" customHeight="1" x14ac:dyDescent="0.2">
      <c r="A78" s="371"/>
      <c r="B78" s="369"/>
      <c r="C78" s="255"/>
      <c r="D78" s="253"/>
      <c r="E78" s="241"/>
      <c r="F78" s="63"/>
      <c r="G78" s="238"/>
      <c r="H78" s="21"/>
      <c r="I78" s="317"/>
      <c r="J78" s="48">
        <v>0</v>
      </c>
      <c r="K78" s="49">
        <v>0</v>
      </c>
      <c r="L78" s="49">
        <v>0</v>
      </c>
      <c r="M78" s="51">
        <f t="shared" si="5"/>
        <v>0</v>
      </c>
    </row>
    <row r="79" spans="1:14" s="5" customFormat="1" ht="12" customHeight="1" x14ac:dyDescent="0.2">
      <c r="A79" s="370">
        <v>1302</v>
      </c>
      <c r="B79" s="385" t="s">
        <v>96</v>
      </c>
      <c r="C79" s="66" t="s">
        <v>97</v>
      </c>
      <c r="D79" s="67" t="s">
        <v>63</v>
      </c>
      <c r="E79" s="65">
        <f>'1302'!G15</f>
        <v>5456</v>
      </c>
      <c r="F79" s="64">
        <f>'1302'!G17</f>
        <v>5486</v>
      </c>
      <c r="G79" s="64">
        <v>0</v>
      </c>
      <c r="H79" s="47">
        <f>F79-E79-G79</f>
        <v>30</v>
      </c>
      <c r="I79" s="315">
        <v>0</v>
      </c>
      <c r="J79" s="19">
        <f>'1302'!G29</f>
        <v>21197.33</v>
      </c>
      <c r="K79" s="20">
        <f>'1302'!G28</f>
        <v>10500</v>
      </c>
      <c r="L79" s="28">
        <f>'1302'!G30</f>
        <v>0</v>
      </c>
      <c r="M79" s="23">
        <f t="shared" si="5"/>
        <v>31697.33</v>
      </c>
    </row>
    <row r="80" spans="1:14" s="5" customFormat="1" ht="12" customHeight="1" x14ac:dyDescent="0.2">
      <c r="A80" s="371"/>
      <c r="B80" s="386"/>
      <c r="C80" s="255"/>
      <c r="D80" s="253"/>
      <c r="E80" s="65"/>
      <c r="F80" s="63"/>
      <c r="G80" s="238"/>
      <c r="H80" s="21"/>
      <c r="I80" s="313"/>
      <c r="J80" s="48">
        <f>J79/M79</f>
        <v>0.66874181516234965</v>
      </c>
      <c r="K80" s="49">
        <f>K79/M79</f>
        <v>0.33125818483765035</v>
      </c>
      <c r="L80" s="49">
        <v>0</v>
      </c>
      <c r="M80" s="51">
        <f t="shared" si="5"/>
        <v>1</v>
      </c>
    </row>
    <row r="81" spans="1:13" s="5" customFormat="1" ht="12" customHeight="1" x14ac:dyDescent="0.2">
      <c r="A81" s="370">
        <v>1303</v>
      </c>
      <c r="B81" s="368" t="s">
        <v>266</v>
      </c>
      <c r="C81" s="66" t="s">
        <v>98</v>
      </c>
      <c r="D81" s="67" t="s">
        <v>61</v>
      </c>
      <c r="E81" s="62">
        <f>'1303'!G15</f>
        <v>7627</v>
      </c>
      <c r="F81" s="64">
        <f>'1303'!G17</f>
        <v>7799</v>
      </c>
      <c r="G81" s="64">
        <v>0</v>
      </c>
      <c r="H81" s="47">
        <f>F81-E81-G81</f>
        <v>172</v>
      </c>
      <c r="I81" s="314">
        <v>0</v>
      </c>
      <c r="J81" s="19">
        <f>'1303'!G29</f>
        <v>147638.70000000001</v>
      </c>
      <c r="K81" s="20">
        <f>'1303'!G28</f>
        <v>25000</v>
      </c>
      <c r="L81" s="28">
        <f>'1303'!G30</f>
        <v>0</v>
      </c>
      <c r="M81" s="23">
        <f t="shared" si="5"/>
        <v>172638.7</v>
      </c>
    </row>
    <row r="82" spans="1:13" s="5" customFormat="1" ht="12" customHeight="1" x14ac:dyDescent="0.2">
      <c r="A82" s="371"/>
      <c r="B82" s="369"/>
      <c r="C82" s="255"/>
      <c r="D82" s="253"/>
      <c r="E82" s="65"/>
      <c r="F82" s="242"/>
      <c r="G82" s="242"/>
      <c r="H82" s="21"/>
      <c r="I82" s="314"/>
      <c r="J82" s="48">
        <f>J81/M81</f>
        <v>0.85518890028713146</v>
      </c>
      <c r="K82" s="49">
        <f>K81/M81</f>
        <v>0.14481109971286854</v>
      </c>
      <c r="L82" s="49">
        <v>0</v>
      </c>
      <c r="M82" s="51">
        <f t="shared" si="5"/>
        <v>1</v>
      </c>
    </row>
    <row r="83" spans="1:13" s="5" customFormat="1" ht="12" customHeight="1" x14ac:dyDescent="0.2">
      <c r="A83" s="370">
        <v>1304</v>
      </c>
      <c r="B83" s="368" t="s">
        <v>266</v>
      </c>
      <c r="C83" s="247" t="s">
        <v>278</v>
      </c>
      <c r="D83" s="261" t="s">
        <v>66</v>
      </c>
      <c r="E83" s="62">
        <f>'1304'!G15</f>
        <v>11870</v>
      </c>
      <c r="F83" s="63">
        <f>'1304'!G17</f>
        <v>11875</v>
      </c>
      <c r="G83" s="238">
        <v>0</v>
      </c>
      <c r="H83" s="47">
        <f>F83-E83-G83</f>
        <v>5</v>
      </c>
      <c r="I83" s="318">
        <v>0</v>
      </c>
      <c r="J83" s="19">
        <f>'1304'!G29</f>
        <v>5066.9399999999996</v>
      </c>
      <c r="K83" s="20">
        <f>'1304'!G28</f>
        <v>0</v>
      </c>
      <c r="L83" s="28">
        <f>'1304'!G30</f>
        <v>0</v>
      </c>
      <c r="M83" s="23">
        <f t="shared" ref="M83:M92" si="6">J83+K83</f>
        <v>5066.9399999999996</v>
      </c>
    </row>
    <row r="84" spans="1:13" s="5" customFormat="1" ht="12" customHeight="1" x14ac:dyDescent="0.2">
      <c r="A84" s="371"/>
      <c r="B84" s="369"/>
      <c r="C84" s="239"/>
      <c r="D84" s="253"/>
      <c r="E84" s="241"/>
      <c r="F84" s="63"/>
      <c r="G84" s="238"/>
      <c r="H84" s="54"/>
      <c r="I84" s="319"/>
      <c r="J84" s="48">
        <f>J83/M83</f>
        <v>1</v>
      </c>
      <c r="K84" s="49">
        <f>K83/M83</f>
        <v>0</v>
      </c>
      <c r="L84" s="49">
        <v>0</v>
      </c>
      <c r="M84" s="51">
        <f t="shared" si="6"/>
        <v>1</v>
      </c>
    </row>
    <row r="85" spans="1:13" s="5" customFormat="1" ht="12" customHeight="1" x14ac:dyDescent="0.2">
      <c r="A85" s="370">
        <v>1316</v>
      </c>
      <c r="B85" s="368" t="s">
        <v>266</v>
      </c>
      <c r="C85" s="247" t="s">
        <v>99</v>
      </c>
      <c r="D85" s="67" t="s">
        <v>100</v>
      </c>
      <c r="E85" s="65">
        <f>'1316'!G15</f>
        <v>3138</v>
      </c>
      <c r="F85" s="64">
        <f>'1316'!G17</f>
        <v>3046</v>
      </c>
      <c r="G85" s="64">
        <v>0</v>
      </c>
      <c r="H85" s="327">
        <v>0</v>
      </c>
      <c r="I85" s="329">
        <f>F85-E85-G85</f>
        <v>-92</v>
      </c>
      <c r="J85" s="334">
        <f>'1316'!G29</f>
        <v>0</v>
      </c>
      <c r="K85" s="332">
        <f>'1316'!G28</f>
        <v>0</v>
      </c>
      <c r="L85" s="335">
        <v>0</v>
      </c>
      <c r="M85" s="336">
        <f t="shared" si="6"/>
        <v>0</v>
      </c>
    </row>
    <row r="86" spans="1:13" s="5" customFormat="1" ht="12" customHeight="1" x14ac:dyDescent="0.2">
      <c r="A86" s="371"/>
      <c r="B86" s="369"/>
      <c r="C86" s="239"/>
      <c r="D86" s="253"/>
      <c r="E86" s="241"/>
      <c r="F86" s="242"/>
      <c r="G86" s="238"/>
      <c r="H86" s="21"/>
      <c r="I86" s="320"/>
      <c r="J86" s="30">
        <v>0</v>
      </c>
      <c r="K86" s="49">
        <v>0</v>
      </c>
      <c r="L86" s="22">
        <v>0</v>
      </c>
      <c r="M86" s="16">
        <f t="shared" si="6"/>
        <v>0</v>
      </c>
    </row>
    <row r="87" spans="1:13" s="5" customFormat="1" ht="12" customHeight="1" x14ac:dyDescent="0.2">
      <c r="A87" s="370">
        <v>1350</v>
      </c>
      <c r="B87" s="368" t="s">
        <v>267</v>
      </c>
      <c r="C87" s="247" t="s">
        <v>101</v>
      </c>
      <c r="D87" s="67" t="s">
        <v>102</v>
      </c>
      <c r="E87" s="65">
        <f>'1350'!G15</f>
        <v>21531</v>
      </c>
      <c r="F87" s="63">
        <f>'1350'!G17</f>
        <v>21595</v>
      </c>
      <c r="G87" s="64">
        <f>'1350'!G21</f>
        <v>0</v>
      </c>
      <c r="H87" s="47">
        <f>F87-E87-G87</f>
        <v>64</v>
      </c>
      <c r="I87" s="318">
        <v>0</v>
      </c>
      <c r="J87" s="56">
        <f>'1350'!G29</f>
        <v>61785.58</v>
      </c>
      <c r="K87" s="20">
        <f>'1350'!G28</f>
        <v>1000</v>
      </c>
      <c r="L87" s="58">
        <f>'1350'!G30</f>
        <v>0</v>
      </c>
      <c r="M87" s="59">
        <f t="shared" si="6"/>
        <v>62785.58</v>
      </c>
    </row>
    <row r="88" spans="1:13" s="5" customFormat="1" ht="12" customHeight="1" x14ac:dyDescent="0.2">
      <c r="A88" s="371"/>
      <c r="B88" s="369"/>
      <c r="C88" s="239"/>
      <c r="D88" s="67"/>
      <c r="E88" s="65"/>
      <c r="F88" s="242"/>
      <c r="G88" s="238"/>
      <c r="H88" s="54"/>
      <c r="I88" s="319"/>
      <c r="J88" s="48">
        <f>J87/M87</f>
        <v>0.98407277594632403</v>
      </c>
      <c r="K88" s="22">
        <f>K87/M87</f>
        <v>1.5927224053676019E-2</v>
      </c>
      <c r="L88" s="50">
        <v>0</v>
      </c>
      <c r="M88" s="16">
        <f t="shared" si="6"/>
        <v>1</v>
      </c>
    </row>
    <row r="89" spans="1:13" s="5" customFormat="1" ht="12" customHeight="1" x14ac:dyDescent="0.2">
      <c r="A89" s="370">
        <v>1351</v>
      </c>
      <c r="B89" s="368" t="s">
        <v>268</v>
      </c>
      <c r="C89" s="237" t="s">
        <v>103</v>
      </c>
      <c r="D89" s="61" t="s">
        <v>61</v>
      </c>
      <c r="E89" s="62">
        <f>'1351'!G15</f>
        <v>6072</v>
      </c>
      <c r="F89" s="64">
        <f>'1351'!G17</f>
        <v>6272</v>
      </c>
      <c r="G89" s="64">
        <v>0</v>
      </c>
      <c r="H89" s="47">
        <f>F89-E89-G89</f>
        <v>200</v>
      </c>
      <c r="I89" s="318">
        <v>0</v>
      </c>
      <c r="J89" s="56">
        <f>'1351'!G29</f>
        <v>180735.44</v>
      </c>
      <c r="K89" s="57">
        <f>'1351'!G28</f>
        <v>20000</v>
      </c>
      <c r="L89" s="58">
        <f>'1351'!G30</f>
        <v>0</v>
      </c>
      <c r="M89" s="59">
        <f t="shared" si="6"/>
        <v>200735.44</v>
      </c>
    </row>
    <row r="90" spans="1:13" s="5" customFormat="1" ht="12" customHeight="1" thickBot="1" x14ac:dyDescent="0.25">
      <c r="A90" s="372"/>
      <c r="B90" s="373"/>
      <c r="C90" s="365"/>
      <c r="D90" s="273"/>
      <c r="E90" s="286"/>
      <c r="F90" s="274"/>
      <c r="G90" s="359"/>
      <c r="H90" s="366"/>
      <c r="I90" s="367"/>
      <c r="J90" s="362">
        <f>J89/M89</f>
        <v>0.90036637277403531</v>
      </c>
      <c r="K90" s="363">
        <f>K89/M89</f>
        <v>9.963362722596468E-2</v>
      </c>
      <c r="L90" s="363">
        <v>0</v>
      </c>
      <c r="M90" s="364">
        <f t="shared" si="6"/>
        <v>1</v>
      </c>
    </row>
    <row r="91" spans="1:13" s="5" customFormat="1" ht="12" customHeight="1" thickTop="1" x14ac:dyDescent="0.2">
      <c r="A91" s="374">
        <v>1352</v>
      </c>
      <c r="B91" s="375" t="s">
        <v>269</v>
      </c>
      <c r="C91" s="247" t="s">
        <v>104</v>
      </c>
      <c r="D91" s="261" t="s">
        <v>66</v>
      </c>
      <c r="E91" s="271">
        <f>'1352'!G15</f>
        <v>6090</v>
      </c>
      <c r="F91" s="63">
        <f>'1352'!G17</f>
        <v>6139</v>
      </c>
      <c r="G91" s="63">
        <v>0</v>
      </c>
      <c r="H91" s="21">
        <f>F91-E91-G91</f>
        <v>49</v>
      </c>
      <c r="I91" s="320">
        <v>0</v>
      </c>
      <c r="J91" s="19">
        <f>'1352'!G29</f>
        <v>26130.34</v>
      </c>
      <c r="K91" s="20">
        <f>'1352'!G28</f>
        <v>20000</v>
      </c>
      <c r="L91" s="28">
        <f>'1352'!G30</f>
        <v>0</v>
      </c>
      <c r="M91" s="23">
        <f t="shared" si="6"/>
        <v>46130.34</v>
      </c>
    </row>
    <row r="92" spans="1:13" s="5" customFormat="1" ht="12" customHeight="1" x14ac:dyDescent="0.2">
      <c r="A92" s="371"/>
      <c r="B92" s="369"/>
      <c r="C92" s="266"/>
      <c r="D92" s="266"/>
      <c r="E92" s="267"/>
      <c r="F92" s="268"/>
      <c r="G92" s="268"/>
      <c r="H92" s="29"/>
      <c r="I92" s="322"/>
      <c r="J92" s="48">
        <f>J91/M91</f>
        <v>0.56644585754191279</v>
      </c>
      <c r="K92" s="49">
        <f>K91/M91</f>
        <v>0.43355414245808727</v>
      </c>
      <c r="L92" s="49">
        <v>0</v>
      </c>
      <c r="M92" s="51">
        <f t="shared" si="6"/>
        <v>1</v>
      </c>
    </row>
    <row r="93" spans="1:13" s="5" customFormat="1" ht="12" customHeight="1" x14ac:dyDescent="0.2">
      <c r="A93" s="370">
        <v>1400</v>
      </c>
      <c r="B93" s="368" t="s">
        <v>270</v>
      </c>
      <c r="C93" s="269" t="s">
        <v>105</v>
      </c>
      <c r="D93" s="61" t="s">
        <v>53</v>
      </c>
      <c r="E93" s="65">
        <f>'1400'!G15</f>
        <v>17124</v>
      </c>
      <c r="F93" s="63">
        <f>'1400'!G17</f>
        <v>17318</v>
      </c>
      <c r="G93" s="238">
        <v>0</v>
      </c>
      <c r="H93" s="47">
        <f>F93-E93-G93</f>
        <v>194</v>
      </c>
      <c r="I93" s="318">
        <v>0</v>
      </c>
      <c r="J93" s="19">
        <f>'1400'!G29</f>
        <v>112974.35</v>
      </c>
      <c r="K93" s="20">
        <f>'1400'!G28</f>
        <v>80000</v>
      </c>
      <c r="L93" s="28">
        <f>'1400'!G30</f>
        <v>0</v>
      </c>
      <c r="M93" s="23">
        <f>J93+K93</f>
        <v>192974.35</v>
      </c>
    </row>
    <row r="94" spans="1:13" s="5" customFormat="1" ht="12" customHeight="1" x14ac:dyDescent="0.2">
      <c r="A94" s="371"/>
      <c r="B94" s="369"/>
      <c r="C94" s="270"/>
      <c r="D94" s="240"/>
      <c r="E94" s="241"/>
      <c r="F94" s="242"/>
      <c r="G94" s="242"/>
      <c r="H94" s="54"/>
      <c r="I94" s="319"/>
      <c r="J94" s="48">
        <f>J93/M93</f>
        <v>0.58543713192970981</v>
      </c>
      <c r="K94" s="49">
        <f>K93/M93</f>
        <v>0.41456286807029014</v>
      </c>
      <c r="L94" s="49">
        <v>0</v>
      </c>
      <c r="M94" s="51">
        <f>J94+K94</f>
        <v>1</v>
      </c>
    </row>
    <row r="95" spans="1:13" s="5" customFormat="1" ht="12" customHeight="1" x14ac:dyDescent="0.2">
      <c r="A95" s="370">
        <v>1450</v>
      </c>
      <c r="B95" s="368" t="s">
        <v>279</v>
      </c>
      <c r="C95" s="60" t="s">
        <v>106</v>
      </c>
      <c r="D95" s="67" t="s">
        <v>53</v>
      </c>
      <c r="E95" s="271">
        <f>'1450'!G15</f>
        <v>27254</v>
      </c>
      <c r="F95" s="64">
        <f>'1450'!G17</f>
        <v>27427</v>
      </c>
      <c r="G95" s="238">
        <v>0</v>
      </c>
      <c r="H95" s="21">
        <f>F95-E95-G95</f>
        <v>173</v>
      </c>
      <c r="I95" s="265">
        <v>0</v>
      </c>
      <c r="J95" s="19">
        <f>'1450'!G29</f>
        <v>171654.21</v>
      </c>
      <c r="K95" s="57">
        <f>'1450'!G28</f>
        <v>1000</v>
      </c>
      <c r="L95" s="58">
        <f>'1400'!G30</f>
        <v>0</v>
      </c>
      <c r="M95" s="59">
        <f>J95+K95</f>
        <v>172654.21</v>
      </c>
    </row>
    <row r="96" spans="1:13" s="5" customFormat="1" ht="12" customHeight="1" thickBot="1" x14ac:dyDescent="0.25">
      <c r="A96" s="371"/>
      <c r="B96" s="369" t="s">
        <v>141</v>
      </c>
      <c r="C96" s="272"/>
      <c r="D96" s="273"/>
      <c r="E96" s="65"/>
      <c r="F96" s="274"/>
      <c r="G96" s="274"/>
      <c r="H96" s="24"/>
      <c r="I96" s="275"/>
      <c r="J96" s="14">
        <f>J95/M95</f>
        <v>0.99420807636257469</v>
      </c>
      <c r="K96" s="15">
        <f>K95/M95</f>
        <v>5.7919236374253487E-3</v>
      </c>
      <c r="L96" s="15">
        <v>0</v>
      </c>
      <c r="M96" s="17">
        <f>J96+K96</f>
        <v>1</v>
      </c>
    </row>
    <row r="97" spans="1:18" s="5" customFormat="1" ht="18" customHeight="1" thickTop="1" x14ac:dyDescent="0.25">
      <c r="A97" s="276" t="s">
        <v>23</v>
      </c>
      <c r="B97" s="277"/>
      <c r="C97" s="278"/>
      <c r="D97" s="278"/>
      <c r="E97" s="279">
        <f>SUM(E9:E95)</f>
        <v>1071329</v>
      </c>
      <c r="F97" s="280">
        <f>SUM(F9:F95)</f>
        <v>1073380</v>
      </c>
      <c r="G97" s="280">
        <f>SUM(G9:G95)</f>
        <v>247</v>
      </c>
      <c r="H97" s="281">
        <f>SUM(H9:H96)</f>
        <v>2847</v>
      </c>
      <c r="I97" s="282">
        <f>I9+I11+I13+I15+I17+I19+I21+I23+I25+I37+I27+I29+I31+I33+I35+I39+I41+I43+I45+I47+I49+I51+I53+I55+I57+I59+I61+I63+I65+I67+I69+I71+I73+I75+I77+I79+I81+I83+I85+I87+I89+I91+I93+I95</f>
        <v>-1043.0009500000001</v>
      </c>
      <c r="J97" s="11">
        <f>J9+J11+J13+J15+J17+J19+J21+J23+J25+J27+J29+J31+J33+J35+J37+J39+J41+J43+J45+J47+J49+J51+J53+J55+J57+J59+J61+J63+J65+J67+J69+J71+J73+J75+J77+J79+J81+J83+J85+J87+J89+J91+J93+J95</f>
        <v>2425845.1300000004</v>
      </c>
      <c r="K97" s="12">
        <f>K9+K11+K13+K15+K17+K19+K21+K23+K25+K27+K29+K31+K33+K35+K37+K39+K41+K43+K45+K47+K49+K51+K53+K55+K57+K59+K61+K63+K65+K67+K69+K71+K73+K75+K77+K79+K81+K83+K85+K87+K89+K91+K93+K95</f>
        <v>373795.64</v>
      </c>
      <c r="L97" s="12">
        <f>L9+L11+L13+L15+L17+L19+L21+L23+L25+L27+L29+L31+L33+L35+L37+L39+L41+L43+L45+L47+L49+L51+L53+L55+L57+L59+L61+L63+L65+L67+L69+L71+L73+L75+L77+L79+L81+L83+L85+L87+L89+L91+L93+L95</f>
        <v>33505.409999999996</v>
      </c>
      <c r="M97" s="13">
        <f>M9+M11+M13+M15+M17+M19+M21+M23+M25+M27+M29+M31+M33+M35+M37+M39+M41+M43+M45+M47+M49+M51+M53+M55+M57+M59+M61+M63+M65+M67+M69+M71+M73+M75+M77+M79+M81+M83+M85+M87+M89+M91+M93+M95</f>
        <v>2833145.66</v>
      </c>
      <c r="N97" s="310">
        <f>F97-E97-G97</f>
        <v>1804</v>
      </c>
    </row>
    <row r="98" spans="1:18" s="5" customFormat="1" ht="18.75" thickBot="1" x14ac:dyDescent="0.3">
      <c r="A98" s="283"/>
      <c r="B98" s="284"/>
      <c r="C98" s="285"/>
      <c r="D98" s="285"/>
      <c r="E98" s="286"/>
      <c r="F98" s="287"/>
      <c r="G98" s="287"/>
      <c r="H98" s="288" t="s">
        <v>107</v>
      </c>
      <c r="I98" s="289">
        <f>F97-E97-G97</f>
        <v>1804</v>
      </c>
      <c r="J98" s="25"/>
      <c r="K98" s="26"/>
      <c r="L98" s="26"/>
      <c r="M98" s="27"/>
      <c r="N98" s="311">
        <f>H97+I97</f>
        <v>1803.9990499999999</v>
      </c>
      <c r="O98" s="311"/>
    </row>
    <row r="99" spans="1:18" s="5" customFormat="1" ht="17.25" customHeight="1" thickTop="1" x14ac:dyDescent="0.2">
      <c r="A99" s="309"/>
      <c r="B99" s="4"/>
      <c r="C99" s="272"/>
      <c r="D99" s="272"/>
      <c r="E99" s="291"/>
      <c r="F99" s="18"/>
      <c r="G99" s="18"/>
      <c r="H99" s="20"/>
      <c r="I99" s="18"/>
      <c r="J99" s="18"/>
      <c r="K99" s="18"/>
      <c r="L99" s="18"/>
      <c r="M99" s="18"/>
      <c r="N99" s="18"/>
      <c r="O99" s="18"/>
      <c r="P99" s="18"/>
      <c r="Q99" s="18"/>
      <c r="R99" s="18"/>
    </row>
    <row r="102" spans="1:18" s="5" customFormat="1" ht="15" x14ac:dyDescent="0.2">
      <c r="A102" s="290" t="s">
        <v>277</v>
      </c>
      <c r="B102" s="290"/>
      <c r="C102" s="272"/>
      <c r="D102" s="272"/>
      <c r="E102" s="72"/>
      <c r="F102" s="72"/>
      <c r="G102" s="72"/>
      <c r="H102" s="72"/>
      <c r="I102" s="72"/>
    </row>
    <row r="103" spans="1:18" s="5" customFormat="1" ht="15" x14ac:dyDescent="0.2">
      <c r="A103" s="290"/>
      <c r="B103" s="290"/>
      <c r="C103" s="290" t="s">
        <v>314</v>
      </c>
      <c r="D103" s="272"/>
      <c r="E103" s="72"/>
      <c r="F103" s="72"/>
      <c r="G103" s="72"/>
      <c r="H103" s="72"/>
      <c r="I103" s="72"/>
    </row>
    <row r="104" spans="1:18" s="5" customFormat="1" ht="15" x14ac:dyDescent="0.2">
      <c r="A104" s="290"/>
      <c r="B104" s="290"/>
      <c r="C104" s="290" t="s">
        <v>318</v>
      </c>
      <c r="D104" s="272"/>
      <c r="E104" s="72"/>
      <c r="F104" s="72"/>
      <c r="G104" s="72"/>
      <c r="H104" s="72"/>
      <c r="I104" s="72"/>
    </row>
    <row r="105" spans="1:18" s="5" customFormat="1" ht="15" x14ac:dyDescent="0.2">
      <c r="A105" s="290"/>
      <c r="B105" s="290"/>
      <c r="C105" s="290" t="s">
        <v>319</v>
      </c>
      <c r="D105" s="272"/>
      <c r="E105" s="72"/>
      <c r="F105" s="72"/>
      <c r="G105" s="72"/>
      <c r="H105" s="72"/>
      <c r="I105" s="72"/>
    </row>
    <row r="106" spans="1:18" s="5" customFormat="1" ht="15" x14ac:dyDescent="0.2">
      <c r="A106" s="290"/>
      <c r="B106" s="290"/>
      <c r="C106" s="272"/>
      <c r="D106" s="272"/>
      <c r="E106" s="72"/>
      <c r="F106" s="72"/>
      <c r="G106" s="72"/>
      <c r="H106" s="72"/>
      <c r="I106" s="72"/>
    </row>
    <row r="107" spans="1:18" s="5" customFormat="1" ht="12" customHeight="1" x14ac:dyDescent="0.2">
      <c r="A107" s="376" t="s">
        <v>325</v>
      </c>
      <c r="B107" s="377"/>
      <c r="C107" s="377"/>
      <c r="D107" s="377"/>
      <c r="E107" s="377"/>
      <c r="F107" s="377"/>
      <c r="G107" s="377"/>
      <c r="H107" s="377"/>
      <c r="I107" s="377"/>
      <c r="J107" s="377"/>
      <c r="K107" s="377"/>
      <c r="L107" s="377"/>
      <c r="M107" s="377"/>
    </row>
    <row r="108" spans="1:18" s="5" customFormat="1" ht="12" customHeight="1" x14ac:dyDescent="0.2">
      <c r="A108" s="377"/>
      <c r="B108" s="377"/>
      <c r="C108" s="377"/>
      <c r="D108" s="377"/>
      <c r="E108" s="377"/>
      <c r="F108" s="377"/>
      <c r="G108" s="377"/>
      <c r="H108" s="377"/>
      <c r="I108" s="377"/>
      <c r="J108" s="377"/>
      <c r="K108" s="377"/>
      <c r="L108" s="377"/>
      <c r="M108" s="377"/>
    </row>
    <row r="109" spans="1:18" s="5" customFormat="1" ht="15" x14ac:dyDescent="0.2">
      <c r="A109" s="4"/>
      <c r="B109" s="4"/>
      <c r="C109" s="209"/>
      <c r="D109" s="209"/>
      <c r="E109" s="72"/>
      <c r="F109" s="72"/>
      <c r="G109" s="72"/>
      <c r="H109" s="72"/>
      <c r="I109" s="72"/>
    </row>
    <row r="110" spans="1:18" s="5" customFormat="1" ht="15" x14ac:dyDescent="0.2">
      <c r="A110" s="4"/>
      <c r="B110" s="4"/>
      <c r="C110" s="209"/>
      <c r="D110" s="209"/>
      <c r="E110" s="72"/>
      <c r="F110" s="72"/>
      <c r="G110" s="72"/>
      <c r="H110" s="72"/>
      <c r="I110" s="72"/>
    </row>
    <row r="111" spans="1:18" s="5" customFormat="1" ht="15" x14ac:dyDescent="0.2">
      <c r="A111" s="4"/>
      <c r="B111" s="4"/>
      <c r="C111" s="209"/>
      <c r="D111" s="209"/>
      <c r="E111" s="72"/>
      <c r="F111" s="72"/>
      <c r="G111" s="72"/>
      <c r="H111" s="72"/>
      <c r="I111" s="72"/>
    </row>
    <row r="112" spans="1:18" s="5" customFormat="1" ht="15" x14ac:dyDescent="0.2">
      <c r="A112" s="4"/>
      <c r="B112" s="4"/>
      <c r="C112" s="209"/>
      <c r="D112" s="209"/>
      <c r="E112" s="72"/>
      <c r="F112" s="72"/>
      <c r="G112" s="72"/>
      <c r="H112" s="72"/>
      <c r="I112" s="72"/>
    </row>
    <row r="113" spans="1:9" s="5" customFormat="1" ht="15" x14ac:dyDescent="0.2">
      <c r="A113" s="4"/>
      <c r="B113" s="4"/>
      <c r="C113" s="209"/>
      <c r="D113" s="209"/>
      <c r="E113" s="72"/>
      <c r="F113" s="72"/>
      <c r="G113" s="72"/>
      <c r="H113" s="72"/>
      <c r="I113" s="72"/>
    </row>
    <row r="114" spans="1:9" s="5" customFormat="1" ht="15" x14ac:dyDescent="0.2">
      <c r="A114" s="4"/>
      <c r="B114" s="4"/>
      <c r="C114" s="209"/>
      <c r="D114" s="209"/>
      <c r="E114" s="72"/>
      <c r="F114" s="72"/>
      <c r="G114" s="72"/>
      <c r="H114" s="72"/>
      <c r="I114" s="72"/>
    </row>
    <row r="115" spans="1:9" s="5" customFormat="1" ht="15" x14ac:dyDescent="0.2">
      <c r="A115" s="4"/>
      <c r="B115" s="4"/>
      <c r="C115" s="209"/>
      <c r="D115" s="209"/>
      <c r="E115" s="72"/>
      <c r="F115" s="72"/>
      <c r="G115" s="72"/>
      <c r="H115" s="72"/>
      <c r="I115" s="72"/>
    </row>
    <row r="116" spans="1:9" s="5" customFormat="1" ht="15" x14ac:dyDescent="0.2">
      <c r="A116" s="4"/>
      <c r="B116" s="4"/>
      <c r="C116" s="209"/>
      <c r="D116" s="209"/>
      <c r="E116" s="72"/>
      <c r="F116" s="72"/>
      <c r="G116" s="72"/>
      <c r="H116" s="72"/>
      <c r="I116" s="72"/>
    </row>
  </sheetData>
  <mergeCells count="91">
    <mergeCell ref="B79:B80"/>
    <mergeCell ref="A81:A82"/>
    <mergeCell ref="B81:B82"/>
    <mergeCell ref="L7:L8"/>
    <mergeCell ref="B9:B10"/>
    <mergeCell ref="A9:A10"/>
    <mergeCell ref="A95:A96"/>
    <mergeCell ref="B95:B96"/>
    <mergeCell ref="H7:I7"/>
    <mergeCell ref="A91:A92"/>
    <mergeCell ref="B91:B92"/>
    <mergeCell ref="A93:A94"/>
    <mergeCell ref="A83:A84"/>
    <mergeCell ref="B83:B84"/>
    <mergeCell ref="A85:A86"/>
    <mergeCell ref="B85:B86"/>
    <mergeCell ref="A77:A78"/>
    <mergeCell ref="B77:B78"/>
    <mergeCell ref="A79:A80"/>
    <mergeCell ref="A107:M108"/>
    <mergeCell ref="B93:B94"/>
    <mergeCell ref="A87:A88"/>
    <mergeCell ref="B87:B88"/>
    <mergeCell ref="A89:A90"/>
    <mergeCell ref="B89:B90"/>
    <mergeCell ref="A71:A72"/>
    <mergeCell ref="B71:B72"/>
    <mergeCell ref="A73:A74"/>
    <mergeCell ref="B73:B74"/>
    <mergeCell ref="A75:A76"/>
    <mergeCell ref="B75:B76"/>
    <mergeCell ref="A67:A68"/>
    <mergeCell ref="B67:B68"/>
    <mergeCell ref="A69:A70"/>
    <mergeCell ref="B69:B70"/>
    <mergeCell ref="A63:A64"/>
    <mergeCell ref="B63:B64"/>
    <mergeCell ref="A65:A66"/>
    <mergeCell ref="B65:B66"/>
    <mergeCell ref="A59:A60"/>
    <mergeCell ref="B59:B60"/>
    <mergeCell ref="A61:A62"/>
    <mergeCell ref="B61:B62"/>
    <mergeCell ref="A55:A56"/>
    <mergeCell ref="B55:B56"/>
    <mergeCell ref="A57:A58"/>
    <mergeCell ref="B57:B58"/>
    <mergeCell ref="A51:A52"/>
    <mergeCell ref="B51:B52"/>
    <mergeCell ref="A53:A54"/>
    <mergeCell ref="B53:B54"/>
    <mergeCell ref="A47:A48"/>
    <mergeCell ref="B47:B48"/>
    <mergeCell ref="A49:A50"/>
    <mergeCell ref="B49:B50"/>
    <mergeCell ref="A43:A44"/>
    <mergeCell ref="B43:B44"/>
    <mergeCell ref="A45:A46"/>
    <mergeCell ref="B45:B46"/>
    <mergeCell ref="A39:A40"/>
    <mergeCell ref="B39:B40"/>
    <mergeCell ref="A41:A42"/>
    <mergeCell ref="B41:B42"/>
    <mergeCell ref="A35:A36"/>
    <mergeCell ref="B35:B36"/>
    <mergeCell ref="A37:A38"/>
    <mergeCell ref="B37:B38"/>
    <mergeCell ref="A31:A32"/>
    <mergeCell ref="B31:B32"/>
    <mergeCell ref="A33:A34"/>
    <mergeCell ref="B33:B34"/>
    <mergeCell ref="A27:A28"/>
    <mergeCell ref="B27:B28"/>
    <mergeCell ref="A29:A30"/>
    <mergeCell ref="B29:B30"/>
    <mergeCell ref="A23:A24"/>
    <mergeCell ref="B23:B24"/>
    <mergeCell ref="A25:A26"/>
    <mergeCell ref="B25:B26"/>
    <mergeCell ref="A21:A22"/>
    <mergeCell ref="B21:B22"/>
    <mergeCell ref="A15:A16"/>
    <mergeCell ref="B15:B16"/>
    <mergeCell ref="A17:A18"/>
    <mergeCell ref="B17:B18"/>
    <mergeCell ref="B11:B12"/>
    <mergeCell ref="A11:A12"/>
    <mergeCell ref="A13:A14"/>
    <mergeCell ref="B13:B14"/>
    <mergeCell ref="A19:A20"/>
    <mergeCell ref="B19:B20"/>
  </mergeCells>
  <phoneticPr fontId="10" type="noConversion"/>
  <printOptions horizontalCentered="1" verticalCentered="1"/>
  <pageMargins left="0.39370078740157483" right="0" top="0.71" bottom="1.0629921259842521" header="0.31496062992125984" footer="0.51181102362204722"/>
  <pageSetup paperSize="9" scale="75" firstPageNumber="287" orientation="landscape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  <rowBreaks count="2" manualBreakCount="2">
    <brk id="46" max="12" man="1"/>
    <brk id="9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J56"/>
  <sheetViews>
    <sheetView topLeftCell="A13" zoomScale="110" zoomScaleNormal="110" workbookViewId="0">
      <selection activeCell="E34" sqref="E34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388" t="s">
        <v>108</v>
      </c>
      <c r="F2" s="389"/>
      <c r="G2" s="389"/>
      <c r="H2" s="389"/>
      <c r="I2" s="389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391" t="s">
        <v>144</v>
      </c>
      <c r="F4" s="391"/>
      <c r="G4" s="391"/>
      <c r="H4" s="391"/>
      <c r="I4" s="391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207">
        <v>75007592</v>
      </c>
      <c r="F6" s="78"/>
      <c r="G6" s="79" t="s">
        <v>40</v>
      </c>
      <c r="H6" s="80">
        <v>1000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3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3760</v>
      </c>
      <c r="F15" s="33">
        <v>10402</v>
      </c>
      <c r="G15" s="32">
        <f>H15+I15</f>
        <v>10402</v>
      </c>
      <c r="H15" s="34">
        <v>10372</v>
      </c>
      <c r="I15" s="34">
        <v>30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10" ht="19.5" x14ac:dyDescent="0.4">
      <c r="A17" s="98" t="s">
        <v>4</v>
      </c>
      <c r="B17" s="3"/>
      <c r="C17" s="3"/>
      <c r="D17" s="3"/>
      <c r="E17" s="32">
        <v>3760</v>
      </c>
      <c r="F17" s="33">
        <v>10463</v>
      </c>
      <c r="G17" s="32">
        <f>H17+I17</f>
        <v>10463</v>
      </c>
      <c r="H17" s="34">
        <v>10381</v>
      </c>
      <c r="I17" s="34">
        <v>82</v>
      </c>
    </row>
    <row r="18" spans="1:10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10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10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10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10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10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61</v>
      </c>
      <c r="H23" s="107">
        <f>H17-H15-H21</f>
        <v>9</v>
      </c>
      <c r="I23" s="107">
        <f>I17-I15-I21</f>
        <v>52</v>
      </c>
    </row>
    <row r="25" spans="1:10" x14ac:dyDescent="0.2">
      <c r="H25" s="108"/>
    </row>
    <row r="27" spans="1:10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61460.53</v>
      </c>
      <c r="H27" s="110" t="s">
        <v>120</v>
      </c>
      <c r="I27" s="111"/>
    </row>
    <row r="28" spans="1:10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7000</v>
      </c>
      <c r="H28" s="110" t="s">
        <v>120</v>
      </c>
      <c r="I28" s="111"/>
      <c r="J28" s="292"/>
    </row>
    <row r="29" spans="1:10" ht="18.75" x14ac:dyDescent="0.4">
      <c r="A29" s="112"/>
      <c r="B29" s="112"/>
      <c r="C29" s="113"/>
      <c r="D29" s="114"/>
      <c r="E29" s="115"/>
      <c r="F29" s="108" t="s">
        <v>7</v>
      </c>
      <c r="G29" s="36">
        <v>54460.01</v>
      </c>
      <c r="H29" s="110" t="s">
        <v>120</v>
      </c>
      <c r="I29" s="111"/>
    </row>
    <row r="30" spans="1:10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0.52</v>
      </c>
      <c r="H30" s="117" t="s">
        <v>120</v>
      </c>
      <c r="I30" s="111"/>
    </row>
    <row r="31" spans="1:10" ht="12.75" customHeight="1" x14ac:dyDescent="0.2">
      <c r="A31" s="395" t="s">
        <v>326</v>
      </c>
      <c r="B31" s="395"/>
      <c r="C31" s="395"/>
      <c r="D31" s="395"/>
      <c r="E31" s="395"/>
      <c r="F31" s="395"/>
      <c r="G31" s="395"/>
      <c r="H31" s="395"/>
      <c r="I31" s="395"/>
    </row>
    <row r="32" spans="1:10" x14ac:dyDescent="0.2">
      <c r="A32" s="396"/>
      <c r="B32" s="396"/>
      <c r="C32" s="396"/>
      <c r="D32" s="396"/>
      <c r="E32" s="396"/>
      <c r="F32" s="396"/>
      <c r="G32" s="396"/>
      <c r="H32" s="396"/>
      <c r="I32" s="396"/>
    </row>
    <row r="33" spans="1:10" ht="24" customHeight="1" x14ac:dyDescent="0.2">
      <c r="A33" s="396"/>
      <c r="B33" s="396"/>
      <c r="C33" s="396"/>
      <c r="D33" s="396"/>
      <c r="E33" s="396"/>
      <c r="F33" s="396"/>
      <c r="G33" s="396"/>
      <c r="H33" s="396"/>
      <c r="I33" s="396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925</v>
      </c>
      <c r="G36" s="126">
        <v>863</v>
      </c>
      <c r="H36" s="110" t="s">
        <v>39</v>
      </c>
      <c r="I36" s="127">
        <f>G36/F36</f>
        <v>0.93297297297297299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0</v>
      </c>
      <c r="G37" s="126">
        <v>0</v>
      </c>
      <c r="H37" s="110" t="s">
        <v>39</v>
      </c>
      <c r="I37" s="127">
        <v>0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0</v>
      </c>
      <c r="G39" s="126">
        <v>0</v>
      </c>
      <c r="H39" s="110" t="s">
        <v>39</v>
      </c>
      <c r="I39" s="127">
        <v>0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8" x14ac:dyDescent="0.35">
      <c r="A41" s="124"/>
      <c r="B41" s="176"/>
      <c r="C41" s="176"/>
      <c r="D41" s="177"/>
      <c r="E41" s="177"/>
      <c r="F41" s="178"/>
      <c r="G41" s="179"/>
      <c r="H41" s="110"/>
      <c r="I41" s="180"/>
      <c r="J41" s="74"/>
    </row>
    <row r="42" spans="1:10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10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10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10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10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10" ht="13.5" thickTop="1" x14ac:dyDescent="0.2">
      <c r="A47" s="144"/>
      <c r="B47" s="145"/>
      <c r="C47" s="145" t="s">
        <v>6</v>
      </c>
      <c r="D47" s="145"/>
      <c r="E47" s="146">
        <v>10500</v>
      </c>
      <c r="F47" s="147">
        <v>1000</v>
      </c>
      <c r="G47" s="148">
        <v>2000</v>
      </c>
      <c r="H47" s="148">
        <f>E47+F47-G47</f>
        <v>9500</v>
      </c>
      <c r="I47" s="149">
        <f>H47</f>
        <v>9500</v>
      </c>
    </row>
    <row r="48" spans="1:10" x14ac:dyDescent="0.2">
      <c r="A48" s="150"/>
      <c r="B48" s="151"/>
      <c r="C48" s="151" t="s">
        <v>8</v>
      </c>
      <c r="D48" s="151"/>
      <c r="E48" s="152">
        <v>147859.35</v>
      </c>
      <c r="F48" s="153">
        <v>118615</v>
      </c>
      <c r="G48" s="154">
        <v>112647</v>
      </c>
      <c r="H48" s="154">
        <f>E48+F48-G48</f>
        <v>153827.34999999998</v>
      </c>
      <c r="I48" s="155">
        <v>148674.29999999999</v>
      </c>
    </row>
    <row r="49" spans="1:9" x14ac:dyDescent="0.2">
      <c r="A49" s="150"/>
      <c r="B49" s="151"/>
      <c r="C49" s="151" t="s">
        <v>7</v>
      </c>
      <c r="D49" s="151"/>
      <c r="E49" s="152">
        <v>32158.68</v>
      </c>
      <c r="F49" s="153">
        <f>13823.08+15000</f>
        <v>28823.08</v>
      </c>
      <c r="G49" s="154">
        <v>0</v>
      </c>
      <c r="H49" s="154">
        <f>E49+F49-G49</f>
        <v>60981.760000000002</v>
      </c>
      <c r="I49" s="155">
        <f>H49</f>
        <v>60981.760000000002</v>
      </c>
    </row>
    <row r="50" spans="1:9" x14ac:dyDescent="0.2">
      <c r="A50" s="150"/>
      <c r="B50" s="151"/>
      <c r="C50" s="151" t="s">
        <v>15</v>
      </c>
      <c r="D50" s="151"/>
      <c r="E50" s="152">
        <v>9480</v>
      </c>
      <c r="F50" s="153">
        <v>7110</v>
      </c>
      <c r="G50" s="154">
        <v>0</v>
      </c>
      <c r="H50" s="154">
        <f>E50+F50-G50</f>
        <v>16590</v>
      </c>
      <c r="I50" s="155">
        <f>H50</f>
        <v>16590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199998.03</v>
      </c>
      <c r="F51" s="159">
        <f>F47+F48+F49+F50</f>
        <v>155548.08000000002</v>
      </c>
      <c r="G51" s="159">
        <f>G47+G48+G49+G50</f>
        <v>114647</v>
      </c>
      <c r="H51" s="159">
        <f>H47+H48+H49+H50</f>
        <v>240899.11</v>
      </c>
      <c r="I51" s="160">
        <f>I47+I48+I49+I50</f>
        <v>235746.06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57"/>
  <sheetViews>
    <sheetView topLeftCell="A13" zoomScale="110" zoomScaleNormal="110" workbookViewId="0">
      <selection activeCell="G28" sqref="G28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388" t="s">
        <v>130</v>
      </c>
      <c r="F2" s="389"/>
      <c r="G2" s="389"/>
      <c r="H2" s="389"/>
      <c r="I2" s="389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391" t="s">
        <v>145</v>
      </c>
      <c r="F4" s="391"/>
      <c r="G4" s="391"/>
      <c r="H4" s="391"/>
      <c r="I4" s="391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207">
        <v>66181500</v>
      </c>
      <c r="F6" s="78"/>
      <c r="G6" s="79" t="s">
        <v>40</v>
      </c>
      <c r="H6" s="80">
        <v>1001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6.7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345</v>
      </c>
      <c r="F15" s="33">
        <v>2614</v>
      </c>
      <c r="G15" s="32">
        <f>H15+I15</f>
        <v>2614</v>
      </c>
      <c r="H15" s="34">
        <v>2614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345</v>
      </c>
      <c r="F17" s="33">
        <v>2633</v>
      </c>
      <c r="G17" s="32">
        <f>H17+I17</f>
        <v>2614</v>
      </c>
      <c r="H17" s="34">
        <v>2614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0</v>
      </c>
      <c r="H23" s="107">
        <f>H17-H15-H21</f>
        <v>0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175.32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175.32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44.631999999999998</v>
      </c>
      <c r="G37" s="126">
        <v>44.631999999999998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33</v>
      </c>
      <c r="G39" s="126">
        <v>33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x14ac:dyDescent="0.2">
      <c r="A42" s="299"/>
      <c r="B42" s="299"/>
      <c r="C42" s="299"/>
      <c r="D42" s="299"/>
      <c r="E42" s="299"/>
      <c r="F42" s="299"/>
      <c r="G42" s="299"/>
      <c r="H42" s="299"/>
      <c r="I42" s="299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2050</v>
      </c>
      <c r="F48" s="147">
        <v>0</v>
      </c>
      <c r="G48" s="148">
        <v>0</v>
      </c>
      <c r="H48" s="305">
        <f>(E48+F48)-G48</f>
        <v>2050</v>
      </c>
      <c r="I48" s="149">
        <f>H48</f>
        <v>2050</v>
      </c>
    </row>
    <row r="49" spans="1:9" x14ac:dyDescent="0.2">
      <c r="A49" s="150"/>
      <c r="B49" s="151"/>
      <c r="C49" s="151" t="s">
        <v>8</v>
      </c>
      <c r="D49" s="151"/>
      <c r="E49" s="152">
        <v>15048.7</v>
      </c>
      <c r="F49" s="153">
        <v>30822</v>
      </c>
      <c r="G49" s="154">
        <v>22146</v>
      </c>
      <c r="H49" s="307">
        <f>(E49+F49)-G49</f>
        <v>23724.699999999997</v>
      </c>
      <c r="I49" s="155">
        <v>19699.03</v>
      </c>
    </row>
    <row r="50" spans="1:9" x14ac:dyDescent="0.2">
      <c r="A50" s="150"/>
      <c r="B50" s="151"/>
      <c r="C50" s="151" t="s">
        <v>7</v>
      </c>
      <c r="D50" s="151"/>
      <c r="E50" s="152">
        <v>187814.63</v>
      </c>
      <c r="F50" s="153">
        <f>52.1+40863</f>
        <v>40915.1</v>
      </c>
      <c r="G50" s="154">
        <v>114022.52</v>
      </c>
      <c r="H50" s="154">
        <f>(E50+F50)-G50</f>
        <v>114707.21</v>
      </c>
      <c r="I50" s="155">
        <f>H50</f>
        <v>114707.21</v>
      </c>
    </row>
    <row r="51" spans="1:9" x14ac:dyDescent="0.2">
      <c r="A51" s="150"/>
      <c r="B51" s="151"/>
      <c r="C51" s="151" t="s">
        <v>15</v>
      </c>
      <c r="D51" s="151"/>
      <c r="E51" s="152">
        <v>47344.39</v>
      </c>
      <c r="F51" s="153">
        <v>44632</v>
      </c>
      <c r="G51" s="154">
        <v>37023.599999999999</v>
      </c>
      <c r="H51" s="306">
        <f>(E51+F51)-G51</f>
        <v>54952.79</v>
      </c>
      <c r="I51" s="155">
        <f>H51</f>
        <v>54952.79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252257.72000000003</v>
      </c>
      <c r="F52" s="159">
        <f>F48+F49+F50+F51</f>
        <v>116369.1</v>
      </c>
      <c r="G52" s="159">
        <f>G48+G49+G50+G51</f>
        <v>173192.12000000002</v>
      </c>
      <c r="H52" s="159">
        <f>H48+H49+H50+H51</f>
        <v>195434.7</v>
      </c>
      <c r="I52" s="160">
        <f>I48+I49+I50+I51</f>
        <v>191409.03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J58"/>
  <sheetViews>
    <sheetView zoomScale="110" zoomScaleNormal="110" workbookViewId="0">
      <selection activeCell="I52" sqref="I52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388" t="s">
        <v>54</v>
      </c>
      <c r="F2" s="389"/>
      <c r="G2" s="389"/>
      <c r="H2" s="389"/>
      <c r="I2" s="389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146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207">
        <v>70631174</v>
      </c>
      <c r="F6" s="78"/>
      <c r="G6" s="79" t="s">
        <v>40</v>
      </c>
      <c r="H6" s="80">
        <v>1010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8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640</v>
      </c>
      <c r="F15" s="33">
        <v>6200</v>
      </c>
      <c r="G15" s="32">
        <f>H15+I15</f>
        <v>6200</v>
      </c>
      <c r="H15" s="34">
        <v>6200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640</v>
      </c>
      <c r="F17" s="33">
        <v>6200</v>
      </c>
      <c r="G17" s="32">
        <f>H17+I17</f>
        <v>6200</v>
      </c>
      <c r="H17" s="34">
        <v>6200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0</v>
      </c>
      <c r="H23" s="107">
        <f>H17-H15-H21</f>
        <v>0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0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401"/>
      <c r="B31" s="402"/>
      <c r="C31" s="402"/>
      <c r="D31" s="402"/>
      <c r="E31" s="402"/>
      <c r="F31" s="402"/>
      <c r="G31" s="402"/>
      <c r="H31" s="402"/>
      <c r="I31" s="402"/>
    </row>
    <row r="32" spans="1:9" x14ac:dyDescent="0.2">
      <c r="A32" s="402"/>
      <c r="B32" s="402"/>
      <c r="C32" s="402"/>
      <c r="D32" s="402"/>
      <c r="E32" s="402"/>
      <c r="F32" s="402"/>
      <c r="G32" s="402"/>
      <c r="H32" s="402"/>
      <c r="I32" s="402"/>
    </row>
    <row r="33" spans="1:10" x14ac:dyDescent="0.2">
      <c r="A33" s="402"/>
      <c r="B33" s="402"/>
      <c r="C33" s="402"/>
      <c r="D33" s="402"/>
      <c r="E33" s="402"/>
      <c r="F33" s="402"/>
      <c r="G33" s="402"/>
      <c r="H33" s="402"/>
      <c r="I33" s="402"/>
    </row>
    <row r="34" spans="1:10" x14ac:dyDescent="0.2">
      <c r="A34" s="197"/>
      <c r="B34" s="197"/>
      <c r="C34" s="197"/>
      <c r="D34" s="197"/>
      <c r="E34" s="197"/>
      <c r="F34" s="197"/>
      <c r="G34" s="197"/>
      <c r="H34" s="197"/>
      <c r="I34" s="197"/>
    </row>
    <row r="35" spans="1:10" ht="19.5" x14ac:dyDescent="0.4">
      <c r="A35" s="93" t="s">
        <v>31</v>
      </c>
      <c r="B35" s="93" t="s">
        <v>32</v>
      </c>
      <c r="C35" s="93"/>
      <c r="D35" s="119"/>
      <c r="E35" s="97"/>
      <c r="F35" s="3"/>
      <c r="G35" s="120"/>
      <c r="H35" s="111"/>
      <c r="I35" s="111"/>
    </row>
    <row r="36" spans="1:10" ht="18.75" x14ac:dyDescent="0.4">
      <c r="A36" s="93"/>
      <c r="B36" s="93"/>
      <c r="C36" s="93"/>
      <c r="D36" s="119"/>
      <c r="F36" s="121" t="s">
        <v>121</v>
      </c>
      <c r="G36" s="122" t="s">
        <v>0</v>
      </c>
      <c r="H36" s="88"/>
      <c r="I36" s="123" t="s">
        <v>122</v>
      </c>
    </row>
    <row r="37" spans="1:10" ht="16.5" x14ac:dyDescent="0.35">
      <c r="A37" s="124" t="s">
        <v>33</v>
      </c>
      <c r="B37" s="125"/>
      <c r="C37" s="2"/>
      <c r="D37" s="125"/>
      <c r="E37" s="97"/>
      <c r="F37" s="126">
        <v>0</v>
      </c>
      <c r="G37" s="126">
        <v>0</v>
      </c>
      <c r="H37" s="110" t="s">
        <v>39</v>
      </c>
      <c r="I37" s="127">
        <v>0</v>
      </c>
    </row>
    <row r="38" spans="1:10" ht="16.5" x14ac:dyDescent="0.35">
      <c r="A38" s="124" t="s">
        <v>123</v>
      </c>
      <c r="B38" s="125"/>
      <c r="C38" s="2"/>
      <c r="D38" s="128"/>
      <c r="E38" s="128"/>
      <c r="F38" s="126">
        <v>6.7480000000000002</v>
      </c>
      <c r="G38" s="126">
        <v>6.7480000000000002</v>
      </c>
      <c r="H38" s="110" t="s">
        <v>39</v>
      </c>
      <c r="I38" s="127">
        <f>G38/F38</f>
        <v>1</v>
      </c>
      <c r="J38" s="182"/>
    </row>
    <row r="39" spans="1:10" ht="16.5" x14ac:dyDescent="0.35">
      <c r="A39" s="124" t="s">
        <v>124</v>
      </c>
      <c r="B39" s="125"/>
      <c r="C39" s="2"/>
      <c r="D39" s="128"/>
      <c r="E39" s="128"/>
      <c r="F39" s="126">
        <v>0</v>
      </c>
      <c r="G39" s="126">
        <v>0</v>
      </c>
      <c r="H39" s="110" t="s">
        <v>39</v>
      </c>
      <c r="I39" s="130" t="s">
        <v>241</v>
      </c>
    </row>
    <row r="40" spans="1:10" ht="16.5" x14ac:dyDescent="0.35">
      <c r="A40" s="124" t="s">
        <v>236</v>
      </c>
      <c r="B40" s="125"/>
      <c r="C40" s="2"/>
      <c r="D40" s="97"/>
      <c r="E40" s="97"/>
      <c r="F40" s="126">
        <v>5</v>
      </c>
      <c r="G40" s="126">
        <v>5</v>
      </c>
      <c r="H40" s="110" t="s">
        <v>39</v>
      </c>
      <c r="I40" s="127">
        <f>G40/F40</f>
        <v>1</v>
      </c>
    </row>
    <row r="41" spans="1:10" ht="18" x14ac:dyDescent="0.35">
      <c r="A41" s="124" t="s">
        <v>237</v>
      </c>
      <c r="B41" s="176"/>
      <c r="C41" s="176"/>
      <c r="D41" s="177"/>
      <c r="E41" s="177"/>
      <c r="F41" s="178">
        <v>0</v>
      </c>
      <c r="G41" s="179">
        <v>0</v>
      </c>
      <c r="H41" s="110" t="s">
        <v>39</v>
      </c>
      <c r="I41" s="130" t="s">
        <v>241</v>
      </c>
      <c r="J41" s="74"/>
    </row>
    <row r="42" spans="1:10" x14ac:dyDescent="0.2">
      <c r="A42" s="397"/>
      <c r="B42" s="397"/>
      <c r="C42" s="397"/>
      <c r="D42" s="397"/>
      <c r="E42" s="397"/>
      <c r="F42" s="397"/>
      <c r="G42" s="397"/>
      <c r="H42" s="397"/>
      <c r="I42" s="397"/>
    </row>
    <row r="43" spans="1:10" x14ac:dyDescent="0.2">
      <c r="A43" s="299"/>
      <c r="B43" s="299"/>
      <c r="C43" s="299"/>
      <c r="D43" s="299"/>
      <c r="E43" s="299"/>
      <c r="F43" s="299"/>
      <c r="G43" s="299"/>
      <c r="H43" s="299"/>
      <c r="I43" s="299"/>
    </row>
    <row r="44" spans="1:10" ht="19.5" thickBot="1" x14ac:dyDescent="0.45">
      <c r="A44" s="93" t="s">
        <v>11</v>
      </c>
      <c r="B44" s="93" t="s">
        <v>12</v>
      </c>
      <c r="C44" s="95"/>
      <c r="D44" s="97"/>
      <c r="E44" s="97"/>
      <c r="F44" s="134"/>
      <c r="G44" s="135"/>
      <c r="H44" s="393" t="s">
        <v>125</v>
      </c>
      <c r="I44" s="394"/>
    </row>
    <row r="45" spans="1:10" ht="18.75" thickTop="1" x14ac:dyDescent="0.35">
      <c r="A45" s="136"/>
      <c r="B45" s="137"/>
      <c r="C45" s="138"/>
      <c r="D45" s="137"/>
      <c r="E45" s="293" t="s">
        <v>291</v>
      </c>
      <c r="F45" s="294" t="s">
        <v>9</v>
      </c>
      <c r="G45" s="294" t="s">
        <v>10</v>
      </c>
      <c r="H45" s="301" t="s">
        <v>13</v>
      </c>
      <c r="I45" s="302" t="s">
        <v>126</v>
      </c>
    </row>
    <row r="46" spans="1:10" x14ac:dyDescent="0.2">
      <c r="A46" s="139"/>
      <c r="B46" s="134"/>
      <c r="C46" s="134"/>
      <c r="D46" s="134"/>
      <c r="E46" s="295"/>
      <c r="F46" s="392"/>
      <c r="G46" s="296"/>
      <c r="H46" s="303">
        <v>40543</v>
      </c>
      <c r="I46" s="304">
        <v>40543</v>
      </c>
    </row>
    <row r="47" spans="1:10" x14ac:dyDescent="0.2">
      <c r="A47" s="139"/>
      <c r="B47" s="134"/>
      <c r="C47" s="134"/>
      <c r="D47" s="134"/>
      <c r="E47" s="295"/>
      <c r="F47" s="392"/>
      <c r="G47" s="297"/>
      <c r="H47" s="297"/>
      <c r="I47" s="298"/>
    </row>
    <row r="48" spans="1:10" ht="13.5" thickBot="1" x14ac:dyDescent="0.25">
      <c r="A48" s="140"/>
      <c r="B48" s="141"/>
      <c r="C48" s="141"/>
      <c r="D48" s="141"/>
      <c r="E48" s="140"/>
      <c r="F48" s="142"/>
      <c r="G48" s="142"/>
      <c r="H48" s="142"/>
      <c r="I48" s="143"/>
    </row>
    <row r="49" spans="1:9" ht="13.5" thickTop="1" x14ac:dyDescent="0.2">
      <c r="A49" s="144"/>
      <c r="B49" s="145"/>
      <c r="C49" s="145" t="s">
        <v>6</v>
      </c>
      <c r="D49" s="145"/>
      <c r="E49" s="146">
        <v>16500</v>
      </c>
      <c r="F49" s="147">
        <v>5000</v>
      </c>
      <c r="G49" s="148">
        <v>0</v>
      </c>
      <c r="H49" s="148">
        <f>E49+F49-G49</f>
        <v>21500</v>
      </c>
      <c r="I49" s="149">
        <f>H49</f>
        <v>21500</v>
      </c>
    </row>
    <row r="50" spans="1:9" x14ac:dyDescent="0.2">
      <c r="A50" s="150"/>
      <c r="B50" s="151"/>
      <c r="C50" s="151" t="s">
        <v>8</v>
      </c>
      <c r="D50" s="151"/>
      <c r="E50" s="152">
        <v>29253.11</v>
      </c>
      <c r="F50" s="153">
        <v>81415</v>
      </c>
      <c r="G50" s="154">
        <v>73631</v>
      </c>
      <c r="H50" s="154">
        <f>E50+F50-G50</f>
        <v>37037.11</v>
      </c>
      <c r="I50" s="155">
        <f>H50</f>
        <v>37037.11</v>
      </c>
    </row>
    <row r="51" spans="1:9" x14ac:dyDescent="0.2">
      <c r="A51" s="150"/>
      <c r="B51" s="151"/>
      <c r="C51" s="151" t="s">
        <v>7</v>
      </c>
      <c r="D51" s="151"/>
      <c r="E51" s="152">
        <v>160589.32999999999</v>
      </c>
      <c r="F51" s="153">
        <v>224266.8</v>
      </c>
      <c r="G51" s="154">
        <f>160589.33+64174.24</f>
        <v>224763.56999999998</v>
      </c>
      <c r="H51" s="154">
        <f>E51+F51-G51</f>
        <v>160092.56000000003</v>
      </c>
      <c r="I51" s="155">
        <v>160092.57</v>
      </c>
    </row>
    <row r="52" spans="1:9" x14ac:dyDescent="0.2">
      <c r="A52" s="150"/>
      <c r="B52" s="151"/>
      <c r="C52" s="151" t="s">
        <v>15</v>
      </c>
      <c r="D52" s="151"/>
      <c r="E52" s="152">
        <v>79313.100000000006</v>
      </c>
      <c r="F52" s="153">
        <v>6748</v>
      </c>
      <c r="G52" s="154">
        <v>5000</v>
      </c>
      <c r="H52" s="154">
        <f>E52+F52-G52</f>
        <v>81061.100000000006</v>
      </c>
      <c r="I52" s="155">
        <f>H52</f>
        <v>81061.100000000006</v>
      </c>
    </row>
    <row r="53" spans="1:9" ht="18.75" thickBot="1" x14ac:dyDescent="0.4">
      <c r="A53" s="156" t="s">
        <v>2</v>
      </c>
      <c r="B53" s="157"/>
      <c r="C53" s="157"/>
      <c r="D53" s="157"/>
      <c r="E53" s="158">
        <f>E49+E50+E51+E52</f>
        <v>285655.54000000004</v>
      </c>
      <c r="F53" s="159">
        <f>F49+F50+F51+F52</f>
        <v>317429.8</v>
      </c>
      <c r="G53" s="159">
        <f>G49+G50+G51+G52</f>
        <v>303394.56999999995</v>
      </c>
      <c r="H53" s="159">
        <f>H49+H50+H51+H52</f>
        <v>299690.77</v>
      </c>
      <c r="I53" s="160">
        <f>I49+I50+I51+I52</f>
        <v>299690.78000000003</v>
      </c>
    </row>
    <row r="54" spans="1:9" ht="18.75" thickTop="1" x14ac:dyDescent="0.35">
      <c r="A54" s="161"/>
      <c r="B54" s="131"/>
      <c r="C54" s="131"/>
      <c r="D54" s="97"/>
      <c r="E54" s="97"/>
      <c r="F54" s="134"/>
      <c r="G54" s="135"/>
      <c r="H54" s="162"/>
      <c r="I54" s="162"/>
    </row>
    <row r="55" spans="1:9" ht="18" x14ac:dyDescent="0.35">
      <c r="A55" s="161"/>
      <c r="B55" s="131"/>
      <c r="C55" s="131"/>
      <c r="D55" s="97"/>
      <c r="E55" s="97"/>
      <c r="F55" s="134"/>
      <c r="G55" s="163"/>
      <c r="H55" s="164"/>
      <c r="I55" s="164"/>
    </row>
    <row r="56" spans="1:9" ht="18" x14ac:dyDescent="0.35">
      <c r="A56" s="165"/>
      <c r="B56" s="166"/>
      <c r="C56" s="166"/>
      <c r="D56" s="167"/>
      <c r="E56" s="167"/>
      <c r="F56" s="164"/>
      <c r="G56" s="164"/>
      <c r="H56" s="164"/>
      <c r="I56" s="164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  <row r="58" spans="1:9" x14ac:dyDescent="0.2">
      <c r="A58" s="168"/>
      <c r="B58" s="168"/>
      <c r="C58" s="168"/>
      <c r="D58" s="168"/>
      <c r="E58" s="168"/>
      <c r="F58" s="168"/>
      <c r="G58" s="168"/>
      <c r="H58" s="168"/>
      <c r="I58" s="168"/>
    </row>
  </sheetData>
  <mergeCells count="11">
    <mergeCell ref="H44:I44"/>
    <mergeCell ref="F46:F47"/>
    <mergeCell ref="E5:I5"/>
    <mergeCell ref="E7:I7"/>
    <mergeCell ref="H12:I12"/>
    <mergeCell ref="A31:I33"/>
    <mergeCell ref="A42:I42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J56"/>
  <sheetViews>
    <sheetView topLeftCell="A22" zoomScale="110" zoomScaleNormal="110" workbookViewId="0">
      <selection activeCell="G36" sqref="G36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425781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388" t="s">
        <v>289</v>
      </c>
      <c r="F2" s="389"/>
      <c r="G2" s="389"/>
      <c r="H2" s="389"/>
      <c r="I2" s="389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6.5" customHeight="1" x14ac:dyDescent="0.25">
      <c r="A4" s="75" t="s">
        <v>27</v>
      </c>
      <c r="E4" s="391" t="s">
        <v>147</v>
      </c>
      <c r="F4" s="391"/>
      <c r="G4" s="391"/>
      <c r="H4" s="391"/>
      <c r="I4" s="391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148</v>
      </c>
      <c r="F6" s="78"/>
      <c r="G6" s="79" t="s">
        <v>40</v>
      </c>
      <c r="H6" s="80">
        <v>1012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9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6069</v>
      </c>
      <c r="F15" s="33">
        <v>27827</v>
      </c>
      <c r="G15" s="32">
        <f>H15+I15</f>
        <v>27831</v>
      </c>
      <c r="H15" s="34">
        <v>27387</v>
      </c>
      <c r="I15" s="34">
        <v>444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6079</v>
      </c>
      <c r="F17" s="33">
        <v>27844</v>
      </c>
      <c r="G17" s="32">
        <f>H17+I17</f>
        <v>27850</v>
      </c>
      <c r="H17" s="34">
        <v>27304</v>
      </c>
      <c r="I17" s="34">
        <v>546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19</v>
      </c>
      <c r="H23" s="107">
        <f>H17-H15-H21</f>
        <v>-83</v>
      </c>
      <c r="I23" s="107">
        <f>I17-I15-I21</f>
        <v>102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19286.61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7000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12286.61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1068.241</v>
      </c>
      <c r="G37" s="126">
        <v>1067.327</v>
      </c>
      <c r="H37" s="110" t="s">
        <v>39</v>
      </c>
      <c r="I37" s="127">
        <f>G37/F37</f>
        <v>0.99914438783008708</v>
      </c>
      <c r="J37" s="182"/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801</v>
      </c>
      <c r="G39" s="126">
        <v>801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8" x14ac:dyDescent="0.35">
      <c r="A41" s="124"/>
      <c r="B41" s="176"/>
      <c r="C41" s="176"/>
      <c r="D41" s="177"/>
      <c r="E41" s="177"/>
      <c r="F41" s="178"/>
      <c r="G41" s="179"/>
      <c r="H41" s="110"/>
      <c r="I41" s="180"/>
      <c r="J41" s="74"/>
    </row>
    <row r="42" spans="1:10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10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10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10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10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10" ht="13.5" thickTop="1" x14ac:dyDescent="0.2">
      <c r="A47" s="144"/>
      <c r="B47" s="145"/>
      <c r="C47" s="145" t="s">
        <v>6</v>
      </c>
      <c r="D47" s="145"/>
      <c r="E47" s="146">
        <v>0</v>
      </c>
      <c r="F47" s="147">
        <v>7000</v>
      </c>
      <c r="G47" s="148">
        <v>4000</v>
      </c>
      <c r="H47" s="148">
        <f>E47+F47-G47</f>
        <v>3000</v>
      </c>
      <c r="I47" s="149">
        <f>H47</f>
        <v>3000</v>
      </c>
    </row>
    <row r="48" spans="1:10" x14ac:dyDescent="0.2">
      <c r="A48" s="150"/>
      <c r="B48" s="151"/>
      <c r="C48" s="151" t="s">
        <v>8</v>
      </c>
      <c r="D48" s="151"/>
      <c r="E48" s="152">
        <v>383932.62</v>
      </c>
      <c r="F48" s="153">
        <v>313327</v>
      </c>
      <c r="G48" s="154">
        <v>363463.74</v>
      </c>
      <c r="H48" s="154">
        <f>E48+F48-G48</f>
        <v>333795.88</v>
      </c>
      <c r="I48" s="155">
        <v>310656.88</v>
      </c>
    </row>
    <row r="49" spans="1:9" x14ac:dyDescent="0.2">
      <c r="A49" s="150"/>
      <c r="B49" s="151"/>
      <c r="C49" s="151" t="s">
        <v>7</v>
      </c>
      <c r="D49" s="151"/>
      <c r="E49" s="152">
        <f>8243.74+30000</f>
        <v>38243.74</v>
      </c>
      <c r="F49" s="153">
        <v>2632.2</v>
      </c>
      <c r="G49" s="154">
        <v>0</v>
      </c>
      <c r="H49" s="154">
        <f>E49+F49-G49</f>
        <v>40875.939999999995</v>
      </c>
      <c r="I49" s="155">
        <f>H49</f>
        <v>40875.939999999995</v>
      </c>
    </row>
    <row r="50" spans="1:9" x14ac:dyDescent="0.2">
      <c r="A50" s="150"/>
      <c r="B50" s="151"/>
      <c r="C50" s="151" t="s">
        <v>15</v>
      </c>
      <c r="D50" s="151"/>
      <c r="E50" s="152">
        <v>310712.28999999998</v>
      </c>
      <c r="F50" s="153">
        <v>1083603</v>
      </c>
      <c r="G50" s="154">
        <v>1188484</v>
      </c>
      <c r="H50" s="154">
        <f>E50+F50-G50</f>
        <v>205831.29000000004</v>
      </c>
      <c r="I50" s="155">
        <f>H50</f>
        <v>205831.29000000004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732888.64999999991</v>
      </c>
      <c r="F51" s="159">
        <f>F47+F48+F49+F50</f>
        <v>1406562.2</v>
      </c>
      <c r="G51" s="159">
        <f>G47+G48+G49+G50</f>
        <v>1555947.74</v>
      </c>
      <c r="H51" s="159">
        <f>H47+H48+H49+H50</f>
        <v>583503.1100000001</v>
      </c>
      <c r="I51" s="160">
        <f>I47+I48+I49+I50</f>
        <v>560364.1100000001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2:D2"/>
    <mergeCell ref="E2:I2"/>
    <mergeCell ref="E4:I4"/>
    <mergeCell ref="E3:I3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 474)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J57"/>
  <sheetViews>
    <sheetView topLeftCell="A16" zoomScale="110" zoomScaleNormal="110" workbookViewId="0">
      <selection activeCell="H29" sqref="H29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131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391" t="s">
        <v>149</v>
      </c>
      <c r="F4" s="391"/>
      <c r="G4" s="391"/>
      <c r="H4" s="391"/>
      <c r="I4" s="391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150</v>
      </c>
      <c r="F6" s="78"/>
      <c r="G6" s="79" t="s">
        <v>40</v>
      </c>
      <c r="H6" s="80">
        <v>1013</v>
      </c>
    </row>
    <row r="7" spans="1:9" ht="9.75" customHeight="1" x14ac:dyDescent="0.4">
      <c r="A7" s="76"/>
      <c r="E7" s="390" t="s">
        <v>116</v>
      </c>
      <c r="F7" s="390"/>
      <c r="G7" s="390"/>
      <c r="H7" s="390"/>
      <c r="I7" s="390"/>
    </row>
    <row r="8" spans="1:9" ht="4.5" customHeight="1" x14ac:dyDescent="0.4">
      <c r="A8" s="76"/>
      <c r="E8" s="81"/>
      <c r="F8" s="81"/>
      <c r="G8" s="81"/>
      <c r="H8" s="79"/>
      <c r="I8" s="81"/>
    </row>
    <row r="9" spans="1:9" ht="31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3305</v>
      </c>
      <c r="F15" s="33">
        <v>15834</v>
      </c>
      <c r="G15" s="32">
        <f>H15+I15</f>
        <v>15835</v>
      </c>
      <c r="H15" s="34">
        <v>15516</v>
      </c>
      <c r="I15" s="34">
        <v>319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3305</v>
      </c>
      <c r="F17" s="33">
        <v>15843</v>
      </c>
      <c r="G17" s="32">
        <f>H17+I17</f>
        <v>15845</v>
      </c>
      <c r="H17" s="34">
        <v>15516</v>
      </c>
      <c r="I17" s="34">
        <v>329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10</v>
      </c>
      <c r="H23" s="107">
        <f>H17-H15-H21</f>
        <v>0</v>
      </c>
      <c r="I23" s="107">
        <f>I17-I15-I21</f>
        <v>10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10083.459999999999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10083.459999999999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291.8</v>
      </c>
      <c r="G37" s="126">
        <v>291.88542000000001</v>
      </c>
      <c r="H37" s="110" t="s">
        <v>39</v>
      </c>
      <c r="I37" s="127">
        <f>G37/F37</f>
        <v>1.0002927347498287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219</v>
      </c>
      <c r="G39" s="126">
        <v>219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5" customHeight="1" x14ac:dyDescent="0.2">
      <c r="A41" s="397" t="s">
        <v>292</v>
      </c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5" customHeight="1" x14ac:dyDescent="0.2">
      <c r="A42" s="133"/>
      <c r="B42" s="133"/>
      <c r="C42" s="133"/>
      <c r="D42" s="133"/>
      <c r="E42" s="133"/>
      <c r="F42" s="133"/>
      <c r="G42" s="133"/>
      <c r="H42" s="133"/>
      <c r="I42" s="133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29906</v>
      </c>
      <c r="F48" s="147">
        <v>20000</v>
      </c>
      <c r="G48" s="148">
        <v>2000</v>
      </c>
      <c r="H48" s="148">
        <f>E48+F48-G48</f>
        <v>47906</v>
      </c>
      <c r="I48" s="149">
        <f>H48</f>
        <v>47906</v>
      </c>
    </row>
    <row r="49" spans="1:9" x14ac:dyDescent="0.2">
      <c r="A49" s="150"/>
      <c r="B49" s="151"/>
      <c r="C49" s="151" t="s">
        <v>8</v>
      </c>
      <c r="D49" s="151"/>
      <c r="E49" s="152">
        <v>392759.9</v>
      </c>
      <c r="F49" s="153">
        <v>172954</v>
      </c>
      <c r="G49" s="154">
        <v>178152.7</v>
      </c>
      <c r="H49" s="154">
        <f>E49+F49-G49</f>
        <v>387561.2</v>
      </c>
      <c r="I49" s="155">
        <v>302269.03999999998</v>
      </c>
    </row>
    <row r="50" spans="1:9" x14ac:dyDescent="0.2">
      <c r="A50" s="150"/>
      <c r="B50" s="151"/>
      <c r="C50" s="151" t="s">
        <v>7</v>
      </c>
      <c r="D50" s="151"/>
      <c r="E50" s="152">
        <v>393231.48</v>
      </c>
      <c r="F50" s="153">
        <f>71172.71+153600.29</f>
        <v>224773</v>
      </c>
      <c r="G50" s="154">
        <v>211762.31</v>
      </c>
      <c r="H50" s="154">
        <f>E50+F50-G50</f>
        <v>406242.17</v>
      </c>
      <c r="I50" s="155">
        <f>H50</f>
        <v>406242.17</v>
      </c>
    </row>
    <row r="51" spans="1:9" x14ac:dyDescent="0.2">
      <c r="A51" s="150"/>
      <c r="B51" s="151"/>
      <c r="C51" s="151" t="s">
        <v>15</v>
      </c>
      <c r="D51" s="151"/>
      <c r="E51" s="152">
        <v>155977.94</v>
      </c>
      <c r="F51" s="153">
        <v>512886.74</v>
      </c>
      <c r="G51" s="154">
        <v>437163</v>
      </c>
      <c r="H51" s="154">
        <f>E51+F51-G51</f>
        <v>231701.67999999993</v>
      </c>
      <c r="I51" s="155">
        <f>H51</f>
        <v>231701.67999999993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971875.32000000007</v>
      </c>
      <c r="F52" s="159">
        <f>F48+F49+F50+F51</f>
        <v>930613.74</v>
      </c>
      <c r="G52" s="159">
        <f>G48+G49+G50+G51</f>
        <v>829078.01</v>
      </c>
      <c r="H52" s="159">
        <f>H48+H49+H50+H51</f>
        <v>1073411.0499999998</v>
      </c>
      <c r="I52" s="160">
        <f>I48+I49+I50+I51</f>
        <v>988118.8899999999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/>
  <dimension ref="A1:J57"/>
  <sheetViews>
    <sheetView topLeftCell="A28" zoomScale="110" zoomScaleNormal="110" workbookViewId="0">
      <selection activeCell="G37" sqref="G37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42578125" style="71" customWidth="1"/>
    <col min="10" max="10" width="18.85546875" style="72" customWidth="1"/>
    <col min="11" max="11" width="15.425781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388" t="s">
        <v>132</v>
      </c>
      <c r="F2" s="389"/>
      <c r="G2" s="389"/>
      <c r="H2" s="389"/>
      <c r="I2" s="389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151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>
        <v>70863598</v>
      </c>
      <c r="F6" s="78"/>
      <c r="G6" s="79" t="s">
        <v>40</v>
      </c>
      <c r="H6" s="80">
        <v>1014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1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3728</v>
      </c>
      <c r="F15" s="33">
        <v>30065</v>
      </c>
      <c r="G15" s="32">
        <f>H15+I15</f>
        <v>29668</v>
      </c>
      <c r="H15" s="34">
        <v>29644</v>
      </c>
      <c r="I15" s="34">
        <v>24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3816</v>
      </c>
      <c r="F17" s="33">
        <v>30153</v>
      </c>
      <c r="G17" s="32">
        <f>H17+I17</f>
        <v>29776</v>
      </c>
      <c r="H17" s="34">
        <v>29644</v>
      </c>
      <c r="I17" s="34">
        <v>132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108</v>
      </c>
      <c r="H23" s="107">
        <f>H17-H15-H21</f>
        <v>0</v>
      </c>
      <c r="I23" s="107">
        <f>I17-I15-I21</f>
        <v>108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107800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2000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105800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710</v>
      </c>
      <c r="G36" s="126">
        <v>648.30999999999995</v>
      </c>
      <c r="H36" s="110" t="s">
        <v>39</v>
      </c>
      <c r="I36" s="127">
        <f>G36/F36</f>
        <v>0.91311267605633795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34.356999999999999</v>
      </c>
      <c r="G37" s="126">
        <v>34.356999999999999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26</v>
      </c>
      <c r="G39" s="126">
        <v>26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5" customHeight="1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133"/>
    </row>
    <row r="42" spans="1:10" x14ac:dyDescent="0.2">
      <c r="A42" s="124"/>
      <c r="B42" s="133"/>
      <c r="C42" s="133"/>
      <c r="D42" s="133"/>
      <c r="E42" s="133"/>
      <c r="F42" s="133"/>
      <c r="G42" s="133"/>
      <c r="H42" s="133"/>
      <c r="I42" s="133"/>
      <c r="J42" s="133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43103</v>
      </c>
      <c r="F48" s="147">
        <v>2000</v>
      </c>
      <c r="G48" s="148">
        <v>4000</v>
      </c>
      <c r="H48" s="148">
        <f>E48+F48-G48</f>
        <v>41103</v>
      </c>
      <c r="I48" s="149">
        <f>H48</f>
        <v>41103</v>
      </c>
    </row>
    <row r="49" spans="1:9" x14ac:dyDescent="0.2">
      <c r="A49" s="150"/>
      <c r="B49" s="151"/>
      <c r="C49" s="151" t="s">
        <v>8</v>
      </c>
      <c r="D49" s="151"/>
      <c r="E49" s="152">
        <v>159992.28</v>
      </c>
      <c r="F49" s="153">
        <v>363454</v>
      </c>
      <c r="G49" s="154">
        <v>410877.78</v>
      </c>
      <c r="H49" s="154">
        <f>E49+F49-G49</f>
        <v>112568.5</v>
      </c>
      <c r="I49" s="155">
        <f>H49</f>
        <v>112568.5</v>
      </c>
    </row>
    <row r="50" spans="1:9" x14ac:dyDescent="0.2">
      <c r="A50" s="150"/>
      <c r="B50" s="151"/>
      <c r="C50" s="151" t="s">
        <v>7</v>
      </c>
      <c r="D50" s="151"/>
      <c r="E50" s="152">
        <f>228673.13+18625</f>
        <v>247298.13</v>
      </c>
      <c r="F50" s="153">
        <f>98076.2+8000</f>
        <v>106076.2</v>
      </c>
      <c r="G50" s="154">
        <f>90622.4+2045</f>
        <v>92667.4</v>
      </c>
      <c r="H50" s="154">
        <f>E50+F50-G50</f>
        <v>260706.93000000002</v>
      </c>
      <c r="I50" s="155">
        <f>H50</f>
        <v>260706.93000000002</v>
      </c>
    </row>
    <row r="51" spans="1:9" x14ac:dyDescent="0.2">
      <c r="A51" s="150"/>
      <c r="B51" s="151"/>
      <c r="C51" s="151" t="s">
        <v>15</v>
      </c>
      <c r="D51" s="151"/>
      <c r="E51" s="152">
        <v>26592.43</v>
      </c>
      <c r="F51" s="153">
        <v>174357</v>
      </c>
      <c r="G51" s="154">
        <v>166000</v>
      </c>
      <c r="H51" s="154">
        <f>E51+F51-G51</f>
        <v>34949.429999999993</v>
      </c>
      <c r="I51" s="155">
        <f>H51</f>
        <v>34949.429999999993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476985.84</v>
      </c>
      <c r="F52" s="159">
        <f>F48+F49+F50+F51</f>
        <v>645887.19999999995</v>
      </c>
      <c r="G52" s="159">
        <f>G48+G49+G50+G51</f>
        <v>673545.18</v>
      </c>
      <c r="H52" s="159">
        <f>H48+H49+H50+H51</f>
        <v>449327.86000000004</v>
      </c>
      <c r="I52" s="160">
        <f>I48+I49+I50+I51</f>
        <v>449327.86000000004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J57"/>
  <sheetViews>
    <sheetView topLeftCell="A19" zoomScale="110" zoomScaleNormal="110" workbookViewId="0">
      <selection activeCell="J44" sqref="J44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25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152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153</v>
      </c>
      <c r="F6" s="78"/>
      <c r="G6" s="79" t="s">
        <v>40</v>
      </c>
      <c r="H6" s="80">
        <v>1015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4.5" customHeight="1" x14ac:dyDescent="0.4">
      <c r="A8" s="76"/>
      <c r="E8" s="81"/>
      <c r="F8" s="81"/>
      <c r="G8" s="81"/>
      <c r="H8" s="79"/>
      <c r="I8" s="81"/>
    </row>
    <row r="9" spans="1:9" ht="30.7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3844</v>
      </c>
      <c r="F15" s="33">
        <v>3844</v>
      </c>
      <c r="G15" s="32">
        <f>H15+I15</f>
        <v>21483</v>
      </c>
      <c r="H15" s="34">
        <v>21483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3844</v>
      </c>
      <c r="F17" s="33">
        <v>21681</v>
      </c>
      <c r="G17" s="32">
        <f>H17+I17</f>
        <v>21571</v>
      </c>
      <c r="H17" s="34">
        <v>21571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88</v>
      </c>
      <c r="H23" s="107">
        <f>H17-H15-H21</f>
        <v>88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86292.6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13000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73292.600000000006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71</v>
      </c>
      <c r="G36" s="126">
        <v>64.959999999999994</v>
      </c>
      <c r="H36" s="110" t="s">
        <v>39</v>
      </c>
      <c r="I36" s="127">
        <f>G36/F36</f>
        <v>0.91492957746478865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170</v>
      </c>
      <c r="G37" s="126">
        <v>197.89227</v>
      </c>
      <c r="H37" s="110" t="s">
        <v>39</v>
      </c>
      <c r="I37" s="127">
        <f>G37/F37</f>
        <v>1.1640721764705881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128</v>
      </c>
      <c r="G39" s="126">
        <v>128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293</v>
      </c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x14ac:dyDescent="0.2">
      <c r="A42" s="299"/>
      <c r="B42" s="299"/>
      <c r="C42" s="299"/>
      <c r="D42" s="299"/>
      <c r="E42" s="299"/>
      <c r="F42" s="299"/>
      <c r="G42" s="299"/>
      <c r="H42" s="299"/>
      <c r="I42" s="299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6995</v>
      </c>
      <c r="F48" s="147">
        <v>10000</v>
      </c>
      <c r="G48" s="148">
        <v>0</v>
      </c>
      <c r="H48" s="148">
        <f>E48+F48-G48</f>
        <v>16995</v>
      </c>
      <c r="I48" s="149">
        <f>H48</f>
        <v>16995</v>
      </c>
    </row>
    <row r="49" spans="1:9" x14ac:dyDescent="0.2">
      <c r="A49" s="150"/>
      <c r="B49" s="151"/>
      <c r="C49" s="151" t="s">
        <v>8</v>
      </c>
      <c r="D49" s="151"/>
      <c r="E49" s="152">
        <v>127157.54</v>
      </c>
      <c r="F49" s="153">
        <v>290388.53999999998</v>
      </c>
      <c r="G49" s="154">
        <v>340616.76</v>
      </c>
      <c r="H49" s="154">
        <f>E49+F49-G49</f>
        <v>76929.319999999949</v>
      </c>
      <c r="I49" s="155">
        <v>157009.84</v>
      </c>
    </row>
    <row r="50" spans="1:9" x14ac:dyDescent="0.2">
      <c r="A50" s="150"/>
      <c r="B50" s="151"/>
      <c r="C50" s="151" t="s">
        <v>7</v>
      </c>
      <c r="D50" s="151"/>
      <c r="E50" s="152">
        <v>67041.759999999995</v>
      </c>
      <c r="F50" s="153">
        <v>27832</v>
      </c>
      <c r="G50" s="154">
        <v>0</v>
      </c>
      <c r="H50" s="154">
        <f>E50+F50-G50</f>
        <v>94873.76</v>
      </c>
      <c r="I50" s="155">
        <f>H50</f>
        <v>94873.76</v>
      </c>
    </row>
    <row r="51" spans="1:9" x14ac:dyDescent="0.2">
      <c r="A51" s="150"/>
      <c r="B51" s="151"/>
      <c r="C51" s="151" t="s">
        <v>15</v>
      </c>
      <c r="D51" s="151"/>
      <c r="E51" s="152">
        <v>118329</v>
      </c>
      <c r="F51" s="153">
        <v>197892.27</v>
      </c>
      <c r="G51" s="154">
        <v>155892.26999999999</v>
      </c>
      <c r="H51" s="154">
        <f>E51+F51-G51</f>
        <v>160329.00000000003</v>
      </c>
      <c r="I51" s="155">
        <f>H51</f>
        <v>160329.00000000003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319523.3</v>
      </c>
      <c r="F52" s="159">
        <f>F48+F49+F50+F51</f>
        <v>526112.80999999994</v>
      </c>
      <c r="G52" s="159">
        <f>G48+G49+G50+G51</f>
        <v>496509.03</v>
      </c>
      <c r="H52" s="159">
        <f>H48+H49+H50+H51</f>
        <v>349127.07999999996</v>
      </c>
      <c r="I52" s="160">
        <f>I48+I49+I50+I51</f>
        <v>429207.6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A1:J58"/>
  <sheetViews>
    <sheetView topLeftCell="A28" zoomScale="110" zoomScaleNormal="110" workbookViewId="0">
      <selection activeCell="I51" sqref="I51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6.710937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109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154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155</v>
      </c>
      <c r="F6" s="78"/>
      <c r="G6" s="79" t="s">
        <v>40</v>
      </c>
      <c r="H6" s="80">
        <v>1032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29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1131</v>
      </c>
      <c r="F15" s="33">
        <v>8461</v>
      </c>
      <c r="G15" s="32">
        <f>H15+I15</f>
        <v>8487</v>
      </c>
      <c r="H15" s="34">
        <v>8487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1131</v>
      </c>
      <c r="F17" s="33">
        <v>8461</v>
      </c>
      <c r="G17" s="32">
        <f>H17+I17</f>
        <v>8510</v>
      </c>
      <c r="H17" s="34">
        <v>8510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7.75" customHeight="1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23</v>
      </c>
      <c r="H23" s="107">
        <f>H17-H15-H21</f>
        <v>23</v>
      </c>
      <c r="I23" s="107">
        <f>I17-I15-I21</f>
        <v>0</v>
      </c>
    </row>
    <row r="24" spans="1:9" ht="9" customHeight="1" x14ac:dyDescent="0.2"/>
    <row r="25" spans="1:9" ht="2.25" customHeight="1" x14ac:dyDescent="0.2">
      <c r="A25" s="401"/>
      <c r="B25" s="402"/>
      <c r="C25" s="402"/>
      <c r="D25" s="402"/>
      <c r="E25" s="402"/>
      <c r="F25" s="402"/>
      <c r="G25" s="402"/>
      <c r="H25" s="402"/>
      <c r="I25" s="402"/>
    </row>
    <row r="26" spans="1:9" x14ac:dyDescent="0.2">
      <c r="A26" s="402"/>
      <c r="B26" s="402"/>
      <c r="C26" s="402"/>
      <c r="D26" s="402"/>
      <c r="E26" s="402"/>
      <c r="F26" s="402"/>
      <c r="G26" s="402"/>
      <c r="H26" s="402"/>
      <c r="I26" s="402"/>
    </row>
    <row r="27" spans="1:9" x14ac:dyDescent="0.2">
      <c r="A27" s="402"/>
      <c r="B27" s="402"/>
      <c r="C27" s="402"/>
      <c r="D27" s="402"/>
      <c r="E27" s="402"/>
      <c r="F27" s="402"/>
      <c r="G27" s="402"/>
      <c r="H27" s="402"/>
      <c r="I27" s="402"/>
    </row>
    <row r="28" spans="1:9" ht="21.75" customHeight="1" x14ac:dyDescent="0.2">
      <c r="A28" s="197"/>
      <c r="B28" s="197"/>
      <c r="C28" s="197"/>
      <c r="D28" s="197"/>
      <c r="E28" s="197"/>
      <c r="F28" s="197"/>
      <c r="G28" s="197"/>
      <c r="H28" s="197"/>
      <c r="I28" s="197"/>
    </row>
    <row r="29" spans="1:9" ht="19.5" x14ac:dyDescent="0.4">
      <c r="A29" s="93" t="s">
        <v>5</v>
      </c>
      <c r="B29" s="93" t="s">
        <v>119</v>
      </c>
      <c r="C29" s="93"/>
      <c r="D29" s="3"/>
      <c r="E29" s="3"/>
      <c r="F29" s="88"/>
      <c r="G29" s="109">
        <f>SUM(G30:G32)</f>
        <v>23930</v>
      </c>
      <c r="H29" s="110" t="s">
        <v>120</v>
      </c>
      <c r="I29" s="111"/>
    </row>
    <row r="30" spans="1:9" ht="18.75" x14ac:dyDescent="0.4">
      <c r="A30" s="112"/>
      <c r="B30" s="112"/>
      <c r="C30" s="113" t="s">
        <v>29</v>
      </c>
      <c r="D30" s="114"/>
      <c r="E30" s="115"/>
      <c r="F30" s="108" t="s">
        <v>6</v>
      </c>
      <c r="G30" s="36">
        <v>10000</v>
      </c>
      <c r="H30" s="110" t="s">
        <v>120</v>
      </c>
      <c r="I30" s="111"/>
    </row>
    <row r="31" spans="1:9" ht="18.75" x14ac:dyDescent="0.4">
      <c r="A31" s="112"/>
      <c r="B31" s="112"/>
      <c r="C31" s="113"/>
      <c r="D31" s="114"/>
      <c r="E31" s="115"/>
      <c r="F31" s="108" t="s">
        <v>7</v>
      </c>
      <c r="G31" s="36">
        <v>13930</v>
      </c>
      <c r="H31" s="110" t="s">
        <v>120</v>
      </c>
      <c r="I31" s="111"/>
    </row>
    <row r="32" spans="1:9" ht="18.75" x14ac:dyDescent="0.4">
      <c r="A32" s="112"/>
      <c r="B32" s="112"/>
      <c r="C32" s="113" t="s">
        <v>30</v>
      </c>
      <c r="D32" s="114"/>
      <c r="E32" s="115"/>
      <c r="F32" s="108" t="s">
        <v>239</v>
      </c>
      <c r="G32" s="116">
        <v>0</v>
      </c>
      <c r="H32" s="117" t="s">
        <v>120</v>
      </c>
      <c r="I32" s="111"/>
    </row>
    <row r="33" spans="1:10" ht="18.75" x14ac:dyDescent="0.4">
      <c r="A33" s="112"/>
      <c r="B33" s="112"/>
      <c r="C33" s="113"/>
      <c r="D33" s="114"/>
      <c r="E33" s="115"/>
      <c r="F33" s="108"/>
      <c r="G33" s="116"/>
      <c r="H33" s="117"/>
      <c r="I33" s="111"/>
    </row>
    <row r="34" spans="1:10" x14ac:dyDescent="0.2">
      <c r="A34" s="197"/>
      <c r="B34" s="197"/>
      <c r="C34" s="197"/>
      <c r="D34" s="197"/>
      <c r="E34" s="197"/>
      <c r="F34" s="197"/>
      <c r="G34" s="197"/>
      <c r="H34" s="197"/>
      <c r="I34" s="197"/>
    </row>
    <row r="35" spans="1:10" ht="19.5" x14ac:dyDescent="0.4">
      <c r="A35" s="93" t="s">
        <v>31</v>
      </c>
      <c r="B35" s="93" t="s">
        <v>32</v>
      </c>
      <c r="C35" s="93"/>
      <c r="D35" s="119"/>
      <c r="E35" s="97"/>
      <c r="F35" s="3"/>
      <c r="G35" s="120"/>
      <c r="H35" s="111"/>
      <c r="I35" s="111"/>
    </row>
    <row r="36" spans="1:10" ht="18.75" x14ac:dyDescent="0.4">
      <c r="A36" s="93"/>
      <c r="B36" s="93"/>
      <c r="C36" s="93"/>
      <c r="D36" s="119"/>
      <c r="F36" s="121" t="s">
        <v>121</v>
      </c>
      <c r="G36" s="122" t="s">
        <v>0</v>
      </c>
      <c r="H36" s="88"/>
      <c r="I36" s="123" t="s">
        <v>122</v>
      </c>
    </row>
    <row r="37" spans="1:10" ht="16.5" x14ac:dyDescent="0.35">
      <c r="A37" s="124" t="s">
        <v>33</v>
      </c>
      <c r="B37" s="125"/>
      <c r="C37" s="2"/>
      <c r="D37" s="125"/>
      <c r="E37" s="97"/>
      <c r="F37" s="126">
        <v>0</v>
      </c>
      <c r="G37" s="126">
        <v>0</v>
      </c>
      <c r="H37" s="110" t="s">
        <v>39</v>
      </c>
      <c r="I37" s="127">
        <v>0</v>
      </c>
    </row>
    <row r="38" spans="1:10" ht="16.5" x14ac:dyDescent="0.35">
      <c r="A38" s="124" t="s">
        <v>123</v>
      </c>
      <c r="B38" s="125"/>
      <c r="C38" s="2"/>
      <c r="D38" s="128"/>
      <c r="E38" s="128"/>
      <c r="F38" s="126">
        <v>184.35</v>
      </c>
      <c r="G38" s="126">
        <v>184.66901999999999</v>
      </c>
      <c r="H38" s="110" t="s">
        <v>39</v>
      </c>
      <c r="I38" s="127">
        <f>G38/F38</f>
        <v>1.0017305126118796</v>
      </c>
    </row>
    <row r="39" spans="1:10" ht="16.5" x14ac:dyDescent="0.35">
      <c r="A39" s="124" t="s">
        <v>124</v>
      </c>
      <c r="B39" s="125"/>
      <c r="C39" s="2"/>
      <c r="D39" s="128"/>
      <c r="E39" s="128"/>
      <c r="F39" s="126">
        <v>0</v>
      </c>
      <c r="G39" s="126">
        <v>0</v>
      </c>
      <c r="H39" s="110" t="s">
        <v>39</v>
      </c>
      <c r="I39" s="130" t="s">
        <v>241</v>
      </c>
    </row>
    <row r="40" spans="1:10" ht="16.5" x14ac:dyDescent="0.35">
      <c r="A40" s="124" t="s">
        <v>236</v>
      </c>
      <c r="B40" s="125"/>
      <c r="C40" s="2"/>
      <c r="D40" s="97"/>
      <c r="E40" s="97"/>
      <c r="F40" s="126">
        <v>138</v>
      </c>
      <c r="G40" s="126">
        <v>138</v>
      </c>
      <c r="H40" s="110" t="s">
        <v>39</v>
      </c>
      <c r="I40" s="127">
        <f>G40/F40</f>
        <v>1</v>
      </c>
    </row>
    <row r="41" spans="1:10" ht="18" x14ac:dyDescent="0.35">
      <c r="A41" s="206" t="s">
        <v>237</v>
      </c>
      <c r="B41" s="176"/>
      <c r="C41" s="176"/>
      <c r="D41" s="177"/>
      <c r="E41" s="177"/>
      <c r="F41" s="178">
        <v>0</v>
      </c>
      <c r="G41" s="179">
        <v>0</v>
      </c>
      <c r="H41" s="110" t="s">
        <v>39</v>
      </c>
      <c r="I41" s="130" t="s">
        <v>241</v>
      </c>
      <c r="J41" s="74"/>
    </row>
    <row r="42" spans="1:10" ht="15" customHeight="1" x14ac:dyDescent="0.2">
      <c r="A42" s="397" t="s">
        <v>294</v>
      </c>
      <c r="B42" s="397"/>
      <c r="C42" s="397"/>
      <c r="D42" s="397"/>
      <c r="E42" s="397"/>
      <c r="F42" s="397"/>
      <c r="G42" s="397"/>
      <c r="H42" s="397"/>
      <c r="I42" s="397"/>
    </row>
    <row r="43" spans="1:10" ht="15" customHeight="1" x14ac:dyDescent="0.2">
      <c r="A43" s="133"/>
      <c r="B43" s="133"/>
      <c r="C43" s="133"/>
      <c r="D43" s="133"/>
      <c r="E43" s="133"/>
      <c r="F43" s="133"/>
      <c r="G43" s="133"/>
      <c r="H43" s="133"/>
      <c r="I43" s="133"/>
    </row>
    <row r="44" spans="1:10" ht="19.5" thickBot="1" x14ac:dyDescent="0.45">
      <c r="A44" s="93" t="s">
        <v>11</v>
      </c>
      <c r="B44" s="93" t="s">
        <v>12</v>
      </c>
      <c r="C44" s="95"/>
      <c r="D44" s="97"/>
      <c r="E44" s="97"/>
      <c r="F44" s="134"/>
      <c r="G44" s="135"/>
      <c r="H44" s="393" t="s">
        <v>125</v>
      </c>
      <c r="I44" s="394"/>
    </row>
    <row r="45" spans="1:10" ht="18.75" thickTop="1" x14ac:dyDescent="0.35">
      <c r="A45" s="136"/>
      <c r="B45" s="137"/>
      <c r="C45" s="138"/>
      <c r="D45" s="137"/>
      <c r="E45" s="293" t="s">
        <v>291</v>
      </c>
      <c r="F45" s="294" t="s">
        <v>9</v>
      </c>
      <c r="G45" s="294" t="s">
        <v>10</v>
      </c>
      <c r="H45" s="301" t="s">
        <v>13</v>
      </c>
      <c r="I45" s="302" t="s">
        <v>126</v>
      </c>
    </row>
    <row r="46" spans="1:10" x14ac:dyDescent="0.2">
      <c r="A46" s="139"/>
      <c r="B46" s="134"/>
      <c r="C46" s="134"/>
      <c r="D46" s="134"/>
      <c r="E46" s="295"/>
      <c r="F46" s="392"/>
      <c r="G46" s="296"/>
      <c r="H46" s="303">
        <v>40543</v>
      </c>
      <c r="I46" s="304">
        <v>40543</v>
      </c>
    </row>
    <row r="47" spans="1:10" x14ac:dyDescent="0.2">
      <c r="A47" s="139"/>
      <c r="B47" s="134"/>
      <c r="C47" s="134"/>
      <c r="D47" s="134"/>
      <c r="E47" s="295"/>
      <c r="F47" s="392"/>
      <c r="G47" s="297"/>
      <c r="H47" s="297"/>
      <c r="I47" s="298"/>
    </row>
    <row r="48" spans="1:10" ht="13.5" thickBot="1" x14ac:dyDescent="0.25">
      <c r="A48" s="140"/>
      <c r="B48" s="141"/>
      <c r="C48" s="141"/>
      <c r="D48" s="141"/>
      <c r="E48" s="140"/>
      <c r="F48" s="142"/>
      <c r="G48" s="142"/>
      <c r="H48" s="142"/>
      <c r="I48" s="143"/>
    </row>
    <row r="49" spans="1:9" ht="13.5" thickTop="1" x14ac:dyDescent="0.2">
      <c r="A49" s="144"/>
      <c r="B49" s="145"/>
      <c r="C49" s="145" t="s">
        <v>6</v>
      </c>
      <c r="D49" s="145"/>
      <c r="E49" s="146">
        <v>5000</v>
      </c>
      <c r="F49" s="147">
        <v>1000</v>
      </c>
      <c r="G49" s="148">
        <v>2000</v>
      </c>
      <c r="H49" s="148">
        <f>E49+F49-G49</f>
        <v>4000</v>
      </c>
      <c r="I49" s="149">
        <f>H49</f>
        <v>4000</v>
      </c>
    </row>
    <row r="50" spans="1:9" x14ac:dyDescent="0.2">
      <c r="A50" s="150"/>
      <c r="B50" s="151"/>
      <c r="C50" s="151" t="s">
        <v>8</v>
      </c>
      <c r="D50" s="151"/>
      <c r="E50" s="152">
        <v>61296.07</v>
      </c>
      <c r="F50" s="153">
        <v>105128</v>
      </c>
      <c r="G50" s="154">
        <v>75920</v>
      </c>
      <c r="H50" s="154">
        <f>E50+F50-G50</f>
        <v>90504.07</v>
      </c>
      <c r="I50" s="155">
        <v>82302.84</v>
      </c>
    </row>
    <row r="51" spans="1:9" x14ac:dyDescent="0.2">
      <c r="A51" s="150"/>
      <c r="B51" s="151"/>
      <c r="C51" s="151" t="s">
        <v>7</v>
      </c>
      <c r="D51" s="151"/>
      <c r="E51" s="152">
        <v>158564.84</v>
      </c>
      <c r="F51" s="153">
        <v>44388.36</v>
      </c>
      <c r="G51" s="154">
        <v>0</v>
      </c>
      <c r="H51" s="154">
        <f>E51+F51-G51</f>
        <v>202953.2</v>
      </c>
      <c r="I51" s="155">
        <f>H51</f>
        <v>202953.2</v>
      </c>
    </row>
    <row r="52" spans="1:9" x14ac:dyDescent="0.2">
      <c r="A52" s="150"/>
      <c r="B52" s="151"/>
      <c r="C52" s="151" t="s">
        <v>15</v>
      </c>
      <c r="D52" s="151"/>
      <c r="E52" s="152">
        <v>122717.61</v>
      </c>
      <c r="F52" s="153">
        <v>184669.02</v>
      </c>
      <c r="G52" s="154">
        <v>179975</v>
      </c>
      <c r="H52" s="154">
        <f>E52+F52-G52</f>
        <v>127411.63</v>
      </c>
      <c r="I52" s="155">
        <f>H52</f>
        <v>127411.63</v>
      </c>
    </row>
    <row r="53" spans="1:9" ht="18.75" thickBot="1" x14ac:dyDescent="0.4">
      <c r="A53" s="156" t="s">
        <v>2</v>
      </c>
      <c r="B53" s="157"/>
      <c r="C53" s="157"/>
      <c r="D53" s="157"/>
      <c r="E53" s="158">
        <f>E49+E50+E51+E52</f>
        <v>347578.52</v>
      </c>
      <c r="F53" s="159">
        <f>F49+F50+F51+F52</f>
        <v>335185.38</v>
      </c>
      <c r="G53" s="159">
        <f>G49+G50+G51+G52</f>
        <v>257895</v>
      </c>
      <c r="H53" s="159">
        <f>H49+H50+H51+H52</f>
        <v>424868.9</v>
      </c>
      <c r="I53" s="160">
        <f>I49+I50+I51+I52</f>
        <v>416667.67000000004</v>
      </c>
    </row>
    <row r="54" spans="1:9" ht="18.75" thickTop="1" x14ac:dyDescent="0.35">
      <c r="A54" s="161"/>
      <c r="B54" s="131"/>
      <c r="C54" s="131"/>
      <c r="D54" s="97"/>
      <c r="E54" s="97"/>
      <c r="F54" s="134"/>
      <c r="G54" s="135"/>
      <c r="H54" s="162"/>
      <c r="I54" s="162"/>
    </row>
    <row r="55" spans="1:9" ht="18" x14ac:dyDescent="0.35">
      <c r="A55" s="161"/>
      <c r="B55" s="131"/>
      <c r="C55" s="131"/>
      <c r="D55" s="97"/>
      <c r="E55" s="97"/>
      <c r="F55" s="134"/>
      <c r="G55" s="163"/>
      <c r="H55" s="164"/>
      <c r="I55" s="164"/>
    </row>
    <row r="56" spans="1:9" ht="18" x14ac:dyDescent="0.35">
      <c r="A56" s="165"/>
      <c r="B56" s="166"/>
      <c r="C56" s="166"/>
      <c r="D56" s="167"/>
      <c r="E56" s="167"/>
      <c r="F56" s="164"/>
      <c r="G56" s="164"/>
      <c r="H56" s="164"/>
      <c r="I56" s="164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  <row r="58" spans="1:9" x14ac:dyDescent="0.2">
      <c r="A58" s="168"/>
      <c r="B58" s="168"/>
      <c r="C58" s="168"/>
      <c r="D58" s="168"/>
      <c r="E58" s="168"/>
      <c r="F58" s="168"/>
      <c r="G58" s="168"/>
      <c r="H58" s="168"/>
      <c r="I58" s="168"/>
    </row>
  </sheetData>
  <mergeCells count="11">
    <mergeCell ref="H44:I44"/>
    <mergeCell ref="F46:F47"/>
    <mergeCell ref="E5:I5"/>
    <mergeCell ref="E7:I7"/>
    <mergeCell ref="H12:I12"/>
    <mergeCell ref="A25:I27"/>
    <mergeCell ref="A42:I42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J57"/>
  <sheetViews>
    <sheetView topLeftCell="A13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156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157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158</v>
      </c>
      <c r="F6" s="78"/>
      <c r="G6" s="79" t="s">
        <v>40</v>
      </c>
      <c r="H6" s="80">
        <v>1033</v>
      </c>
    </row>
    <row r="7" spans="1:9" ht="9.75" customHeight="1" x14ac:dyDescent="0.4">
      <c r="A7" s="76"/>
      <c r="E7" s="390" t="s">
        <v>116</v>
      </c>
      <c r="F7" s="390"/>
      <c r="G7" s="390"/>
      <c r="H7" s="390"/>
      <c r="I7" s="390"/>
    </row>
    <row r="8" spans="1:9" ht="4.5" customHeight="1" x14ac:dyDescent="0.4">
      <c r="A8" s="76"/>
      <c r="E8" s="81"/>
      <c r="F8" s="81"/>
      <c r="G8" s="81"/>
      <c r="H8" s="79"/>
      <c r="I8" s="81"/>
    </row>
    <row r="9" spans="1:9" ht="23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811</v>
      </c>
      <c r="F15" s="33">
        <v>6435</v>
      </c>
      <c r="G15" s="32">
        <f>H15+I15</f>
        <v>6436</v>
      </c>
      <c r="H15" s="34">
        <v>6436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811</v>
      </c>
      <c r="F17" s="33">
        <v>6470</v>
      </c>
      <c r="G17" s="32">
        <f>H17+I17</f>
        <v>6471</v>
      </c>
      <c r="H17" s="34">
        <v>6471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35</v>
      </c>
      <c r="H23" s="107">
        <f>H17-H15-H21</f>
        <v>35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36172.51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4008.39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32164.12</v>
      </c>
      <c r="H30" s="117" t="s">
        <v>120</v>
      </c>
      <c r="I30" s="111"/>
    </row>
    <row r="31" spans="1:9" ht="12.75" customHeight="1" x14ac:dyDescent="0.2">
      <c r="A31" s="397" t="s">
        <v>295</v>
      </c>
      <c r="B31" s="397"/>
      <c r="C31" s="397"/>
      <c r="D31" s="397"/>
      <c r="E31" s="397"/>
      <c r="F31" s="397"/>
      <c r="G31" s="397"/>
      <c r="H31" s="397"/>
      <c r="I31" s="397"/>
    </row>
    <row r="32" spans="1:9" x14ac:dyDescent="0.2">
      <c r="A32" s="397"/>
      <c r="B32" s="397"/>
      <c r="C32" s="397"/>
      <c r="D32" s="397"/>
      <c r="E32" s="397"/>
      <c r="F32" s="397"/>
      <c r="G32" s="397"/>
      <c r="H32" s="397"/>
      <c r="I32" s="397"/>
    </row>
    <row r="33" spans="1:10" x14ac:dyDescent="0.2">
      <c r="A33" s="397"/>
      <c r="B33" s="397"/>
      <c r="C33" s="397"/>
      <c r="D33" s="397"/>
      <c r="E33" s="397"/>
      <c r="F33" s="397"/>
      <c r="G33" s="397"/>
      <c r="H33" s="397"/>
      <c r="I33" s="397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16</v>
      </c>
      <c r="G37" s="126">
        <v>16.37</v>
      </c>
      <c r="H37" s="110" t="s">
        <v>39</v>
      </c>
      <c r="I37" s="127">
        <f>G37/F37</f>
        <v>1.0231250000000001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12</v>
      </c>
      <c r="G39" s="126">
        <v>12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5" customHeight="1" x14ac:dyDescent="0.2">
      <c r="A41" s="397" t="s">
        <v>275</v>
      </c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5" customHeight="1" x14ac:dyDescent="0.2">
      <c r="A42" s="133"/>
      <c r="B42" s="133"/>
      <c r="C42" s="133"/>
      <c r="D42" s="133"/>
      <c r="E42" s="133"/>
      <c r="F42" s="133"/>
      <c r="G42" s="133"/>
      <c r="H42" s="133"/>
      <c r="I42" s="133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1000</v>
      </c>
      <c r="F48" s="147">
        <v>0</v>
      </c>
      <c r="G48" s="148">
        <v>0</v>
      </c>
      <c r="H48" s="148">
        <f>E48+F48-G48</f>
        <v>1000</v>
      </c>
      <c r="I48" s="149">
        <f>H48</f>
        <v>1000</v>
      </c>
    </row>
    <row r="49" spans="1:9" x14ac:dyDescent="0.2">
      <c r="A49" s="150"/>
      <c r="B49" s="151"/>
      <c r="C49" s="151" t="s">
        <v>8</v>
      </c>
      <c r="D49" s="151"/>
      <c r="E49" s="152">
        <v>24814.13</v>
      </c>
      <c r="F49" s="153">
        <v>78980</v>
      </c>
      <c r="G49" s="154">
        <v>81028</v>
      </c>
      <c r="H49" s="154">
        <f>E49+F49-G49</f>
        <v>22766.130000000005</v>
      </c>
      <c r="I49" s="155">
        <v>19621.57</v>
      </c>
    </row>
    <row r="50" spans="1:9" x14ac:dyDescent="0.2">
      <c r="A50" s="150"/>
      <c r="B50" s="151"/>
      <c r="C50" s="151" t="s">
        <v>7</v>
      </c>
      <c r="D50" s="151"/>
      <c r="E50" s="152">
        <v>32356.87</v>
      </c>
      <c r="F50" s="153">
        <v>47856.87</v>
      </c>
      <c r="G50" s="173">
        <f>32356.87+40500</f>
        <v>72856.87</v>
      </c>
      <c r="H50" s="154">
        <f>E50+F50-G50</f>
        <v>7356.8700000000099</v>
      </c>
      <c r="I50" s="155">
        <f>H50</f>
        <v>7356.8700000000099</v>
      </c>
    </row>
    <row r="51" spans="1:9" x14ac:dyDescent="0.2">
      <c r="A51" s="150"/>
      <c r="B51" s="151"/>
      <c r="C51" s="151" t="s">
        <v>15</v>
      </c>
      <c r="D51" s="151"/>
      <c r="E51" s="152">
        <v>670</v>
      </c>
      <c r="F51" s="153">
        <v>16370</v>
      </c>
      <c r="G51" s="154">
        <v>12000</v>
      </c>
      <c r="H51" s="154">
        <f>E51+F51-G51</f>
        <v>5040</v>
      </c>
      <c r="I51" s="155">
        <f>H51</f>
        <v>5040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58841</v>
      </c>
      <c r="F52" s="159">
        <f>F48+F49+F50+F51</f>
        <v>143206.87</v>
      </c>
      <c r="G52" s="159">
        <f>G48+G49+G50+G51</f>
        <v>165884.87</v>
      </c>
      <c r="H52" s="159">
        <f>H48+H49+H50+H51</f>
        <v>36163.000000000015</v>
      </c>
      <c r="I52" s="160">
        <f>I48+I49+I50+I51</f>
        <v>33018.44000000001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20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3">
    <mergeCell ref="H43:I43"/>
    <mergeCell ref="F45:F46"/>
    <mergeCell ref="E5:I5"/>
    <mergeCell ref="E7:I7"/>
    <mergeCell ref="H12:I12"/>
    <mergeCell ref="A41:I41"/>
    <mergeCell ref="A31:I31"/>
    <mergeCell ref="A32:I32"/>
    <mergeCell ref="A33:I33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/>
  <dimension ref="A1:J57"/>
  <sheetViews>
    <sheetView topLeftCell="A13" zoomScale="110" zoomScaleNormal="110" workbookViewId="0">
      <selection activeCell="I51" sqref="I51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110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159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160</v>
      </c>
      <c r="F6" s="78"/>
      <c r="G6" s="79" t="s">
        <v>40</v>
      </c>
      <c r="H6" s="80">
        <v>1034</v>
      </c>
    </row>
    <row r="7" spans="1:9" ht="9" customHeight="1" x14ac:dyDescent="0.4">
      <c r="A7" s="76"/>
      <c r="E7" s="390" t="s">
        <v>116</v>
      </c>
      <c r="F7" s="390"/>
      <c r="G7" s="390"/>
      <c r="H7" s="390"/>
      <c r="I7" s="390"/>
    </row>
    <row r="8" spans="1:9" ht="5.25" customHeight="1" x14ac:dyDescent="0.4">
      <c r="A8" s="76"/>
      <c r="E8" s="81"/>
      <c r="F8" s="81"/>
      <c r="G8" s="81"/>
      <c r="H8" s="79"/>
      <c r="I8" s="81"/>
    </row>
    <row r="9" spans="1:9" ht="17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2631</v>
      </c>
      <c r="F15" s="33">
        <v>13932</v>
      </c>
      <c r="G15" s="32">
        <f>H15+I15</f>
        <v>13883</v>
      </c>
      <c r="H15" s="34">
        <v>13860</v>
      </c>
      <c r="I15" s="34">
        <v>23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2631</v>
      </c>
      <c r="F17" s="33">
        <v>13932</v>
      </c>
      <c r="G17" s="32">
        <f>H17+I17</f>
        <v>13932</v>
      </c>
      <c r="H17" s="34">
        <v>13909</v>
      </c>
      <c r="I17" s="34">
        <v>23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49</v>
      </c>
      <c r="H23" s="107">
        <f>H17-H15-H21</f>
        <v>49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49699.38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39699.379999999997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311.87299999999999</v>
      </c>
      <c r="G37" s="126">
        <v>311.87299999999999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234</v>
      </c>
      <c r="G39" s="126">
        <v>234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5" customHeight="1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5" customHeight="1" x14ac:dyDescent="0.2">
      <c r="A42" s="133"/>
      <c r="B42" s="133"/>
      <c r="C42" s="133"/>
      <c r="D42" s="133"/>
      <c r="E42" s="133"/>
      <c r="F42" s="133"/>
      <c r="G42" s="133"/>
      <c r="H42" s="133"/>
      <c r="I42" s="133"/>
    </row>
    <row r="43" spans="1:10" ht="15" customHeight="1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6000</v>
      </c>
      <c r="F48" s="147">
        <v>0</v>
      </c>
      <c r="G48" s="148">
        <v>0</v>
      </c>
      <c r="H48" s="148">
        <f>E48+F48-G48</f>
        <v>6000</v>
      </c>
      <c r="I48" s="149">
        <f>H48</f>
        <v>6000</v>
      </c>
    </row>
    <row r="49" spans="1:9" x14ac:dyDescent="0.2">
      <c r="A49" s="150"/>
      <c r="B49" s="151"/>
      <c r="C49" s="151" t="s">
        <v>8</v>
      </c>
      <c r="D49" s="151"/>
      <c r="E49" s="152">
        <v>193161.65</v>
      </c>
      <c r="F49" s="153">
        <v>162320</v>
      </c>
      <c r="G49" s="154">
        <v>118730</v>
      </c>
      <c r="H49" s="154">
        <f>E49+F49-G49</f>
        <v>236751.65000000002</v>
      </c>
      <c r="I49" s="155">
        <v>222500.34</v>
      </c>
    </row>
    <row r="50" spans="1:9" x14ac:dyDescent="0.2">
      <c r="A50" s="150"/>
      <c r="B50" s="151"/>
      <c r="C50" s="151" t="s">
        <v>7</v>
      </c>
      <c r="D50" s="151"/>
      <c r="E50" s="152">
        <v>245779.49</v>
      </c>
      <c r="F50" s="153">
        <f>26.22+80200</f>
        <v>80226.22</v>
      </c>
      <c r="G50" s="154">
        <v>80200</v>
      </c>
      <c r="H50" s="154">
        <f>E50+F50-G50</f>
        <v>245805.70999999996</v>
      </c>
      <c r="I50" s="155">
        <f>207011.71</f>
        <v>207011.71</v>
      </c>
    </row>
    <row r="51" spans="1:9" x14ac:dyDescent="0.2">
      <c r="A51" s="150"/>
      <c r="B51" s="151"/>
      <c r="C51" s="151" t="s">
        <v>15</v>
      </c>
      <c r="D51" s="151"/>
      <c r="E51" s="152">
        <v>125345.19</v>
      </c>
      <c r="F51" s="153">
        <v>311873</v>
      </c>
      <c r="G51" s="154">
        <v>339490</v>
      </c>
      <c r="H51" s="154">
        <f>E51+F51-G51</f>
        <v>97728.19</v>
      </c>
      <c r="I51" s="155">
        <f>H51</f>
        <v>97728.19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570286.33000000007</v>
      </c>
      <c r="F52" s="159">
        <f>F48+F49+F50+F51</f>
        <v>554419.22</v>
      </c>
      <c r="G52" s="159">
        <f>G48+G49+G50+G51</f>
        <v>538420</v>
      </c>
      <c r="H52" s="159">
        <f>H48+H49+H50+H51</f>
        <v>586285.55000000005</v>
      </c>
      <c r="I52" s="160">
        <f>I48+I49+I50+I51</f>
        <v>533240.24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29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/>
  <dimension ref="A1:J56"/>
  <sheetViews>
    <sheetView zoomScale="110" zoomScaleNormal="110" workbookViewId="0">
      <selection activeCell="F41" sqref="F41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5.425781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111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161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162</v>
      </c>
      <c r="F6" s="78"/>
      <c r="G6" s="79" t="s">
        <v>40</v>
      </c>
      <c r="H6" s="80">
        <v>1044</v>
      </c>
    </row>
    <row r="7" spans="1:9" ht="9" customHeight="1" x14ac:dyDescent="0.4">
      <c r="A7" s="76"/>
      <c r="E7" s="390" t="s">
        <v>116</v>
      </c>
      <c r="F7" s="390"/>
      <c r="G7" s="390"/>
      <c r="H7" s="390"/>
      <c r="I7" s="390"/>
    </row>
    <row r="8" spans="1:9" ht="5.25" customHeight="1" x14ac:dyDescent="0.4">
      <c r="A8" s="76"/>
      <c r="E8" s="81"/>
      <c r="F8" s="81"/>
      <c r="G8" s="81"/>
      <c r="H8" s="79"/>
      <c r="I8" s="81"/>
    </row>
    <row r="9" spans="1:9" ht="29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400</v>
      </c>
      <c r="F15" s="33">
        <v>4680</v>
      </c>
      <c r="G15" s="32">
        <f>H15+I15</f>
        <v>4696</v>
      </c>
      <c r="H15" s="34">
        <v>4696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400</v>
      </c>
      <c r="F17" s="33">
        <v>4986</v>
      </c>
      <c r="G17" s="32">
        <f>H17+I17</f>
        <v>4697</v>
      </c>
      <c r="H17" s="34">
        <v>4697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</v>
      </c>
      <c r="H23" s="107">
        <f>H17-H15-H21</f>
        <v>1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0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3.4950000000000001</v>
      </c>
      <c r="G37" s="126">
        <v>3.4950000000000001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3</v>
      </c>
      <c r="G39" s="126">
        <v>3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8" x14ac:dyDescent="0.35">
      <c r="A41" s="124"/>
      <c r="B41" s="176"/>
      <c r="C41" s="176"/>
      <c r="D41" s="177"/>
      <c r="E41" s="177"/>
      <c r="F41" s="178"/>
      <c r="G41" s="179"/>
      <c r="H41" s="110"/>
      <c r="I41" s="180"/>
      <c r="J41" s="74"/>
    </row>
    <row r="42" spans="1:10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10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10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10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10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10" ht="13.5" thickTop="1" x14ac:dyDescent="0.2">
      <c r="A47" s="144"/>
      <c r="B47" s="145"/>
      <c r="C47" s="145" t="s">
        <v>6</v>
      </c>
      <c r="D47" s="145"/>
      <c r="E47" s="146">
        <v>14806</v>
      </c>
      <c r="F47" s="147">
        <v>0</v>
      </c>
      <c r="G47" s="148">
        <v>0</v>
      </c>
      <c r="H47" s="148">
        <f>E47+F47-G47</f>
        <v>14806</v>
      </c>
      <c r="I47" s="149">
        <f>H47</f>
        <v>14806</v>
      </c>
    </row>
    <row r="48" spans="1:10" x14ac:dyDescent="0.2">
      <c r="A48" s="150"/>
      <c r="B48" s="151"/>
      <c r="C48" s="151" t="s">
        <v>8</v>
      </c>
      <c r="D48" s="151"/>
      <c r="E48" s="152">
        <v>75894.740000000005</v>
      </c>
      <c r="F48" s="153">
        <v>60127</v>
      </c>
      <c r="G48" s="154">
        <v>43303.63</v>
      </c>
      <c r="H48" s="154">
        <f>E48+F48-G48</f>
        <v>92718.109999999986</v>
      </c>
      <c r="I48" s="155">
        <f>H48</f>
        <v>92718.109999999986</v>
      </c>
    </row>
    <row r="49" spans="1:9" x14ac:dyDescent="0.2">
      <c r="A49" s="150"/>
      <c r="B49" s="151"/>
      <c r="C49" s="151" t="s">
        <v>7</v>
      </c>
      <c r="D49" s="151"/>
      <c r="E49" s="152">
        <v>8352.2900000000009</v>
      </c>
      <c r="F49" s="153">
        <v>2730</v>
      </c>
      <c r="G49" s="154">
        <v>0</v>
      </c>
      <c r="H49" s="154">
        <f>E49+F49-G49</f>
        <v>11082.29</v>
      </c>
      <c r="I49" s="155">
        <f>H49</f>
        <v>11082.29</v>
      </c>
    </row>
    <row r="50" spans="1:9" x14ac:dyDescent="0.2">
      <c r="A50" s="150"/>
      <c r="B50" s="151"/>
      <c r="C50" s="151" t="s">
        <v>15</v>
      </c>
      <c r="D50" s="151"/>
      <c r="E50" s="152">
        <v>35516</v>
      </c>
      <c r="F50" s="153">
        <v>3495</v>
      </c>
      <c r="G50" s="154">
        <v>12328</v>
      </c>
      <c r="H50" s="154">
        <f>E50+F50-G50</f>
        <v>26683</v>
      </c>
      <c r="I50" s="155">
        <f>H50</f>
        <v>26683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134569.03</v>
      </c>
      <c r="F51" s="159">
        <f>F47+F48+F49+F50</f>
        <v>66352</v>
      </c>
      <c r="G51" s="159">
        <f>G47+G48+G49+G50</f>
        <v>55631.63</v>
      </c>
      <c r="H51" s="159">
        <f>H47+H48+H49+H50</f>
        <v>145289.4</v>
      </c>
      <c r="I51" s="160">
        <f>I47+I48+I49+I50</f>
        <v>145289.4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/>
  <dimension ref="A1:J57"/>
  <sheetViews>
    <sheetView topLeftCell="A13" zoomScale="110" zoomScaleNormal="110" workbookViewId="0">
      <selection activeCell="I51" sqref="I51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133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163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164</v>
      </c>
      <c r="F6" s="78"/>
      <c r="G6" s="79" t="s">
        <v>40</v>
      </c>
      <c r="H6" s="80">
        <v>1100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4.5" customHeight="1" x14ac:dyDescent="0.4">
      <c r="A8" s="76"/>
      <c r="E8" s="81"/>
      <c r="F8" s="81"/>
      <c r="G8" s="81"/>
      <c r="H8" s="79"/>
      <c r="I8" s="81"/>
    </row>
    <row r="9" spans="1:9" ht="31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3874</v>
      </c>
      <c r="F15" s="33">
        <v>21328</v>
      </c>
      <c r="G15" s="32">
        <f>H15+I15</f>
        <v>21313</v>
      </c>
      <c r="H15" s="34">
        <v>21285</v>
      </c>
      <c r="I15" s="34">
        <v>28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3874</v>
      </c>
      <c r="F17" s="33">
        <v>21403</v>
      </c>
      <c r="G17" s="32">
        <f>H17+I17</f>
        <v>21328</v>
      </c>
      <c r="H17" s="34">
        <v>21287</v>
      </c>
      <c r="I17" s="34">
        <v>41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15</v>
      </c>
      <c r="H23" s="107">
        <f>H17-H15-H21</f>
        <v>2</v>
      </c>
      <c r="I23" s="107">
        <f>I17-I15-I21</f>
        <v>13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14843.79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13843.79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9.6999999999999993</v>
      </c>
      <c r="G36" s="126">
        <v>9.6999999999999993</v>
      </c>
      <c r="H36" s="110" t="s">
        <v>39</v>
      </c>
      <c r="I36" s="127">
        <f>G36/F36</f>
        <v>1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74.667000000000002</v>
      </c>
      <c r="G37" s="126">
        <v>74.667000000000002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56</v>
      </c>
      <c r="G39" s="126">
        <v>56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x14ac:dyDescent="0.2">
      <c r="A42" s="299"/>
      <c r="B42" s="299"/>
      <c r="C42" s="299"/>
      <c r="D42" s="299"/>
      <c r="E42" s="299"/>
      <c r="F42" s="299"/>
      <c r="G42" s="299"/>
      <c r="H42" s="299"/>
      <c r="I42" s="299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2000</v>
      </c>
      <c r="F48" s="147">
        <v>3000</v>
      </c>
      <c r="G48" s="148">
        <v>2000</v>
      </c>
      <c r="H48" s="148">
        <f>E48+F48-G48</f>
        <v>3000</v>
      </c>
      <c r="I48" s="149">
        <f>H48</f>
        <v>3000</v>
      </c>
    </row>
    <row r="49" spans="1:9" x14ac:dyDescent="0.2">
      <c r="A49" s="150"/>
      <c r="B49" s="151"/>
      <c r="C49" s="151" t="s">
        <v>8</v>
      </c>
      <c r="D49" s="151"/>
      <c r="E49" s="152">
        <v>327818.64</v>
      </c>
      <c r="F49" s="153">
        <v>241522</v>
      </c>
      <c r="G49" s="154">
        <v>149989.79999999999</v>
      </c>
      <c r="H49" s="154">
        <f>E49+F49-G49</f>
        <v>419350.84</v>
      </c>
      <c r="I49" s="155">
        <v>340772.35</v>
      </c>
    </row>
    <row r="50" spans="1:9" x14ac:dyDescent="0.2">
      <c r="A50" s="150"/>
      <c r="B50" s="151"/>
      <c r="C50" s="151" t="s">
        <v>7</v>
      </c>
      <c r="D50" s="151"/>
      <c r="E50" s="152">
        <f>166356.66+9892.9</f>
        <v>176249.56</v>
      </c>
      <c r="F50" s="153">
        <f>25796.26+117502.73</f>
        <v>143298.99</v>
      </c>
      <c r="G50" s="154">
        <f>192152.92+42506</f>
        <v>234658.92</v>
      </c>
      <c r="H50" s="154">
        <f>E50+F50-G50</f>
        <v>84889.629999999976</v>
      </c>
      <c r="I50" s="155">
        <v>74872.73</v>
      </c>
    </row>
    <row r="51" spans="1:9" x14ac:dyDescent="0.2">
      <c r="A51" s="150"/>
      <c r="B51" s="151"/>
      <c r="C51" s="151" t="s">
        <v>15</v>
      </c>
      <c r="D51" s="151"/>
      <c r="E51" s="152">
        <v>22136.47</v>
      </c>
      <c r="F51" s="153">
        <v>184667</v>
      </c>
      <c r="G51" s="154">
        <v>185700</v>
      </c>
      <c r="H51" s="154">
        <f>E51+F51-G51</f>
        <v>21103.47</v>
      </c>
      <c r="I51" s="155">
        <f>H51</f>
        <v>21103.47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528204.67000000004</v>
      </c>
      <c r="F52" s="159">
        <f>F48+F49+F50+F51</f>
        <v>572487.99</v>
      </c>
      <c r="G52" s="159">
        <f>G48+G49+G50+G51</f>
        <v>572348.72</v>
      </c>
      <c r="H52" s="159">
        <f>H48+H49+H50+H51</f>
        <v>528343.93999999994</v>
      </c>
      <c r="I52" s="160">
        <f>I48+I49+I50+I51</f>
        <v>439748.54999999993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J58"/>
  <sheetViews>
    <sheetView topLeftCell="A10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42578125" style="71" customWidth="1"/>
    <col min="10" max="10" width="18.85546875" style="72" customWidth="1"/>
    <col min="11" max="11" width="15.425781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127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165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166</v>
      </c>
      <c r="F6" s="78"/>
      <c r="G6" s="79" t="s">
        <v>40</v>
      </c>
      <c r="H6" s="80">
        <v>1101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2.25" customHeight="1" x14ac:dyDescent="0.4">
      <c r="A8" s="76"/>
      <c r="E8" s="81"/>
      <c r="F8" s="81"/>
      <c r="G8" s="81"/>
      <c r="H8" s="79"/>
      <c r="I8" s="81"/>
    </row>
    <row r="9" spans="1:9" ht="37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4791</v>
      </c>
      <c r="F15" s="33">
        <v>32713</v>
      </c>
      <c r="G15" s="32">
        <f>H15+I15</f>
        <v>32713</v>
      </c>
      <c r="H15" s="34">
        <v>32531</v>
      </c>
      <c r="I15" s="34">
        <v>182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4791</v>
      </c>
      <c r="F17" s="33">
        <v>34070</v>
      </c>
      <c r="G17" s="32">
        <f>H17+I17</f>
        <v>32913</v>
      </c>
      <c r="H17" s="34">
        <v>32574</v>
      </c>
      <c r="I17" s="34">
        <v>339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200</v>
      </c>
      <c r="H23" s="107">
        <f>H17-H15-H21</f>
        <v>43</v>
      </c>
      <c r="I23" s="107">
        <f>I17-I15-I21</f>
        <v>157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197872.19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15000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182872.19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404"/>
      <c r="B31" s="404"/>
      <c r="C31" s="404"/>
      <c r="D31" s="404"/>
      <c r="E31" s="404"/>
      <c r="F31" s="404"/>
      <c r="G31" s="404"/>
      <c r="H31" s="404"/>
      <c r="I31" s="404"/>
    </row>
    <row r="32" spans="1:9" x14ac:dyDescent="0.2">
      <c r="A32" s="404"/>
      <c r="B32" s="404"/>
      <c r="C32" s="404"/>
      <c r="D32" s="404"/>
      <c r="E32" s="404"/>
      <c r="F32" s="404"/>
      <c r="G32" s="404"/>
      <c r="H32" s="404"/>
      <c r="I32" s="404"/>
    </row>
    <row r="33" spans="1:10" x14ac:dyDescent="0.2">
      <c r="A33" s="404"/>
      <c r="B33" s="404"/>
      <c r="C33" s="404"/>
      <c r="D33" s="404"/>
      <c r="E33" s="404"/>
      <c r="F33" s="404"/>
      <c r="G33" s="404"/>
      <c r="H33" s="404"/>
      <c r="I33" s="404"/>
    </row>
    <row r="34" spans="1:10" x14ac:dyDescent="0.2">
      <c r="A34" s="118"/>
      <c r="B34" s="118"/>
      <c r="C34" s="118"/>
      <c r="D34" s="118"/>
      <c r="E34" s="118"/>
      <c r="F34" s="118"/>
      <c r="G34" s="118"/>
      <c r="H34" s="118"/>
      <c r="I34" s="118"/>
    </row>
    <row r="35" spans="1:10" ht="19.5" x14ac:dyDescent="0.4">
      <c r="A35" s="93" t="s">
        <v>31</v>
      </c>
      <c r="B35" s="93" t="s">
        <v>32</v>
      </c>
      <c r="C35" s="93"/>
      <c r="D35" s="119"/>
      <c r="E35" s="97"/>
      <c r="F35" s="3"/>
      <c r="G35" s="120"/>
      <c r="H35" s="111"/>
      <c r="I35" s="111"/>
    </row>
    <row r="36" spans="1:10" ht="18.75" x14ac:dyDescent="0.4">
      <c r="A36" s="93"/>
      <c r="B36" s="93"/>
      <c r="C36" s="93"/>
      <c r="D36" s="119"/>
      <c r="F36" s="121" t="s">
        <v>121</v>
      </c>
      <c r="G36" s="122" t="s">
        <v>0</v>
      </c>
      <c r="H36" s="88"/>
      <c r="I36" s="123" t="s">
        <v>122</v>
      </c>
    </row>
    <row r="37" spans="1:10" ht="16.5" x14ac:dyDescent="0.35">
      <c r="A37" s="124" t="s">
        <v>33</v>
      </c>
      <c r="B37" s="125"/>
      <c r="C37" s="2"/>
      <c r="D37" s="125"/>
      <c r="E37" s="97"/>
      <c r="F37" s="126">
        <v>0</v>
      </c>
      <c r="G37" s="126">
        <v>0</v>
      </c>
      <c r="H37" s="110" t="s">
        <v>39</v>
      </c>
      <c r="I37" s="127">
        <v>0</v>
      </c>
    </row>
    <row r="38" spans="1:10" ht="16.5" x14ac:dyDescent="0.35">
      <c r="A38" s="124" t="s">
        <v>123</v>
      </c>
      <c r="B38" s="125"/>
      <c r="C38" s="2"/>
      <c r="D38" s="128"/>
      <c r="E38" s="128"/>
      <c r="F38" s="126">
        <v>323.05099999999999</v>
      </c>
      <c r="G38" s="126">
        <v>321.07799999999997</v>
      </c>
      <c r="H38" s="110" t="s">
        <v>39</v>
      </c>
      <c r="I38" s="127">
        <f>G38/F38</f>
        <v>0.99389260519236899</v>
      </c>
    </row>
    <row r="39" spans="1:10" ht="16.5" x14ac:dyDescent="0.35">
      <c r="A39" s="124" t="s">
        <v>124</v>
      </c>
      <c r="B39" s="125"/>
      <c r="C39" s="2"/>
      <c r="D39" s="128"/>
      <c r="E39" s="128"/>
      <c r="F39" s="126">
        <v>0</v>
      </c>
      <c r="G39" s="126">
        <v>0</v>
      </c>
      <c r="H39" s="110" t="s">
        <v>39</v>
      </c>
      <c r="I39" s="130" t="s">
        <v>241</v>
      </c>
    </row>
    <row r="40" spans="1:10" ht="16.5" x14ac:dyDescent="0.35">
      <c r="A40" s="124" t="s">
        <v>236</v>
      </c>
      <c r="B40" s="125"/>
      <c r="C40" s="2"/>
      <c r="D40" s="97"/>
      <c r="E40" s="97"/>
      <c r="F40" s="126">
        <v>242</v>
      </c>
      <c r="G40" s="126">
        <v>242</v>
      </c>
      <c r="H40" s="110" t="s">
        <v>39</v>
      </c>
      <c r="I40" s="127">
        <f>G40/F40</f>
        <v>1</v>
      </c>
    </row>
    <row r="41" spans="1:10" ht="18" x14ac:dyDescent="0.35">
      <c r="A41" s="124" t="s">
        <v>237</v>
      </c>
      <c r="B41" s="131"/>
      <c r="C41" s="131"/>
      <c r="D41" s="97"/>
      <c r="E41" s="97"/>
      <c r="F41" s="178">
        <v>0</v>
      </c>
      <c r="G41" s="179">
        <v>0</v>
      </c>
      <c r="H41" s="110" t="s">
        <v>39</v>
      </c>
      <c r="I41" s="130" t="s">
        <v>241</v>
      </c>
      <c r="J41" s="74"/>
    </row>
    <row r="42" spans="1:10" ht="15" customHeight="1" x14ac:dyDescent="0.2">
      <c r="A42" s="397"/>
      <c r="B42" s="397"/>
      <c r="C42" s="397"/>
      <c r="D42" s="397"/>
      <c r="E42" s="397"/>
      <c r="F42" s="397"/>
      <c r="G42" s="397"/>
      <c r="H42" s="397"/>
      <c r="I42" s="397"/>
    </row>
    <row r="43" spans="1:10" ht="15" customHeight="1" x14ac:dyDescent="0.2">
      <c r="A43" s="133"/>
      <c r="B43" s="133"/>
      <c r="C43" s="133"/>
      <c r="D43" s="133"/>
      <c r="E43" s="133"/>
      <c r="F43" s="133"/>
      <c r="G43" s="133"/>
      <c r="H43" s="133"/>
      <c r="I43" s="133"/>
    </row>
    <row r="44" spans="1:10" ht="19.5" thickBot="1" x14ac:dyDescent="0.45">
      <c r="A44" s="93" t="s">
        <v>11</v>
      </c>
      <c r="B44" s="93" t="s">
        <v>12</v>
      </c>
      <c r="C44" s="95"/>
      <c r="D44" s="97"/>
      <c r="E44" s="97"/>
      <c r="F44" s="134"/>
      <c r="G44" s="135"/>
      <c r="H44" s="393" t="s">
        <v>125</v>
      </c>
      <c r="I44" s="394"/>
    </row>
    <row r="45" spans="1:10" ht="18.75" thickTop="1" x14ac:dyDescent="0.35">
      <c r="A45" s="136"/>
      <c r="B45" s="137"/>
      <c r="C45" s="138"/>
      <c r="D45" s="137"/>
      <c r="E45" s="293" t="s">
        <v>291</v>
      </c>
      <c r="F45" s="294" t="s">
        <v>9</v>
      </c>
      <c r="G45" s="294" t="s">
        <v>10</v>
      </c>
      <c r="H45" s="301" t="s">
        <v>13</v>
      </c>
      <c r="I45" s="302" t="s">
        <v>126</v>
      </c>
    </row>
    <row r="46" spans="1:10" x14ac:dyDescent="0.2">
      <c r="A46" s="139"/>
      <c r="B46" s="134"/>
      <c r="C46" s="134"/>
      <c r="D46" s="134"/>
      <c r="E46" s="295"/>
      <c r="F46" s="392"/>
      <c r="G46" s="296"/>
      <c r="H46" s="303">
        <v>40543</v>
      </c>
      <c r="I46" s="304">
        <v>40543</v>
      </c>
    </row>
    <row r="47" spans="1:10" x14ac:dyDescent="0.2">
      <c r="A47" s="139"/>
      <c r="B47" s="134"/>
      <c r="C47" s="134"/>
      <c r="D47" s="134"/>
      <c r="E47" s="295"/>
      <c r="F47" s="392"/>
      <c r="G47" s="297"/>
      <c r="H47" s="297"/>
      <c r="I47" s="298"/>
    </row>
    <row r="48" spans="1:10" ht="13.5" thickBot="1" x14ac:dyDescent="0.25">
      <c r="A48" s="140"/>
      <c r="B48" s="141"/>
      <c r="C48" s="141"/>
      <c r="D48" s="141"/>
      <c r="E48" s="140"/>
      <c r="F48" s="142"/>
      <c r="G48" s="142"/>
      <c r="H48" s="142"/>
      <c r="I48" s="143"/>
    </row>
    <row r="49" spans="1:9" ht="13.5" thickTop="1" x14ac:dyDescent="0.2">
      <c r="A49" s="144"/>
      <c r="B49" s="145"/>
      <c r="C49" s="145" t="s">
        <v>6</v>
      </c>
      <c r="D49" s="145"/>
      <c r="E49" s="146">
        <v>100</v>
      </c>
      <c r="F49" s="147">
        <v>4000</v>
      </c>
      <c r="G49" s="148">
        <v>4000</v>
      </c>
      <c r="H49" s="148">
        <f>E49+F49-G49</f>
        <v>100</v>
      </c>
      <c r="I49" s="149">
        <f>H49</f>
        <v>100</v>
      </c>
    </row>
    <row r="50" spans="1:9" x14ac:dyDescent="0.2">
      <c r="A50" s="150"/>
      <c r="B50" s="151"/>
      <c r="C50" s="151" t="s">
        <v>8</v>
      </c>
      <c r="D50" s="151"/>
      <c r="E50" s="152">
        <v>335228.92</v>
      </c>
      <c r="F50" s="153">
        <v>383686</v>
      </c>
      <c r="G50" s="154">
        <v>308547.93</v>
      </c>
      <c r="H50" s="154">
        <f>E50+F50-G50</f>
        <v>410366.98999999993</v>
      </c>
      <c r="I50" s="155">
        <v>295994.99</v>
      </c>
    </row>
    <row r="51" spans="1:9" x14ac:dyDescent="0.2">
      <c r="A51" s="150"/>
      <c r="B51" s="151"/>
      <c r="C51" s="151" t="s">
        <v>7</v>
      </c>
      <c r="D51" s="151"/>
      <c r="E51" s="152">
        <v>0</v>
      </c>
      <c r="F51" s="153">
        <v>16280.43</v>
      </c>
      <c r="G51" s="154">
        <v>0</v>
      </c>
      <c r="H51" s="154">
        <f>E51+F51-G51</f>
        <v>16280.43</v>
      </c>
      <c r="I51" s="155">
        <f>H51</f>
        <v>16280.43</v>
      </c>
    </row>
    <row r="52" spans="1:9" x14ac:dyDescent="0.2">
      <c r="A52" s="150"/>
      <c r="B52" s="151"/>
      <c r="C52" s="151" t="s">
        <v>15</v>
      </c>
      <c r="D52" s="151"/>
      <c r="E52" s="152">
        <v>36594</v>
      </c>
      <c r="F52" s="153">
        <v>323051</v>
      </c>
      <c r="G52" s="154">
        <v>242000</v>
      </c>
      <c r="H52" s="154">
        <f>E52+F52-G52</f>
        <v>117645</v>
      </c>
      <c r="I52" s="155">
        <f>H52</f>
        <v>117645</v>
      </c>
    </row>
    <row r="53" spans="1:9" ht="18.75" thickBot="1" x14ac:dyDescent="0.4">
      <c r="A53" s="156" t="s">
        <v>2</v>
      </c>
      <c r="B53" s="157"/>
      <c r="C53" s="157"/>
      <c r="D53" s="157"/>
      <c r="E53" s="158">
        <f>E49+E50+E51+E52</f>
        <v>371922.92</v>
      </c>
      <c r="F53" s="159">
        <f>F49+F50+F51+F52</f>
        <v>727017.42999999993</v>
      </c>
      <c r="G53" s="159">
        <f>G49+G50+G51+G52</f>
        <v>554547.92999999993</v>
      </c>
      <c r="H53" s="159">
        <f>H49+H50+H51+H52</f>
        <v>544392.41999999993</v>
      </c>
      <c r="I53" s="160">
        <f>I49+I50+I51+I52</f>
        <v>430020.42</v>
      </c>
    </row>
    <row r="54" spans="1:9" ht="18.75" thickTop="1" x14ac:dyDescent="0.35">
      <c r="A54" s="161"/>
      <c r="B54" s="131"/>
      <c r="C54" s="131"/>
      <c r="D54" s="97"/>
      <c r="E54" s="97"/>
      <c r="F54" s="134"/>
      <c r="G54" s="135"/>
      <c r="H54" s="162"/>
      <c r="I54" s="162"/>
    </row>
    <row r="55" spans="1:9" ht="18" x14ac:dyDescent="0.35">
      <c r="A55" s="161"/>
      <c r="B55" s="131"/>
      <c r="C55" s="131"/>
      <c r="D55" s="97"/>
      <c r="E55" s="97"/>
      <c r="F55" s="134"/>
      <c r="G55" s="163"/>
      <c r="H55" s="164"/>
      <c r="I55" s="164"/>
    </row>
    <row r="56" spans="1:9" ht="18" x14ac:dyDescent="0.35">
      <c r="A56" s="165"/>
      <c r="B56" s="166"/>
      <c r="C56" s="166"/>
      <c r="D56" s="167"/>
      <c r="E56" s="167"/>
      <c r="F56" s="164"/>
      <c r="G56" s="164"/>
      <c r="H56" s="164"/>
      <c r="I56" s="164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  <row r="58" spans="1:9" x14ac:dyDescent="0.2">
      <c r="A58" s="168"/>
      <c r="B58" s="168"/>
      <c r="C58" s="168"/>
      <c r="D58" s="168"/>
      <c r="E58" s="168"/>
      <c r="F58" s="168"/>
      <c r="G58" s="168"/>
      <c r="H58" s="168"/>
      <c r="I58" s="168"/>
    </row>
  </sheetData>
  <mergeCells count="11">
    <mergeCell ref="H44:I44"/>
    <mergeCell ref="F46:F47"/>
    <mergeCell ref="E5:I5"/>
    <mergeCell ref="E7:I7"/>
    <mergeCell ref="H12:I12"/>
    <mergeCell ref="A31:I33"/>
    <mergeCell ref="A42:I42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J59"/>
  <sheetViews>
    <sheetView topLeftCell="A28" zoomScale="110" zoomScaleNormal="110" workbookViewId="0">
      <selection activeCell="J46" sqref="J46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425781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134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285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167</v>
      </c>
      <c r="F6" s="78"/>
      <c r="G6" s="79" t="s">
        <v>40</v>
      </c>
      <c r="H6" s="80">
        <v>1102</v>
      </c>
    </row>
    <row r="7" spans="1:9" ht="6.75" customHeight="1" x14ac:dyDescent="0.4">
      <c r="A7" s="76"/>
      <c r="E7" s="390" t="s">
        <v>116</v>
      </c>
      <c r="F7" s="390"/>
      <c r="G7" s="390"/>
      <c r="H7" s="390"/>
      <c r="I7" s="390"/>
    </row>
    <row r="8" spans="1:9" ht="1.5" customHeight="1" x14ac:dyDescent="0.4">
      <c r="A8" s="76"/>
      <c r="E8" s="81"/>
      <c r="F8" s="81"/>
      <c r="G8" s="81"/>
      <c r="H8" s="79"/>
      <c r="I8" s="81"/>
    </row>
    <row r="9" spans="1:9" ht="34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10449</v>
      </c>
      <c r="F15" s="33">
        <v>53074</v>
      </c>
      <c r="G15" s="32">
        <f>H15+I15</f>
        <v>53879</v>
      </c>
      <c r="H15" s="34">
        <v>53203</v>
      </c>
      <c r="I15" s="34">
        <v>676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10449</v>
      </c>
      <c r="F17" s="42">
        <v>53074</v>
      </c>
      <c r="G17" s="32">
        <f>H17+I17</f>
        <v>53881</v>
      </c>
      <c r="H17" s="34">
        <v>53100</v>
      </c>
      <c r="I17" s="34">
        <v>781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2</v>
      </c>
      <c r="H23" s="107">
        <f>H17-H15-H21</f>
        <v>-103</v>
      </c>
      <c r="I23" s="107">
        <f>I17-I15-I21</f>
        <v>105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1340.77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1340.77</v>
      </c>
      <c r="H30" s="117" t="s">
        <v>120</v>
      </c>
      <c r="I30" s="111"/>
    </row>
    <row r="31" spans="1:9" s="204" customFormat="1" ht="15" customHeight="1" x14ac:dyDescent="0.2">
      <c r="A31" s="407" t="s">
        <v>298</v>
      </c>
      <c r="B31" s="408"/>
      <c r="C31" s="408"/>
      <c r="D31" s="408"/>
      <c r="E31" s="408"/>
      <c r="F31" s="408"/>
      <c r="G31" s="408"/>
      <c r="H31" s="408"/>
      <c r="I31" s="408"/>
    </row>
    <row r="32" spans="1:9" s="204" customFormat="1" x14ac:dyDescent="0.2">
      <c r="A32" s="408"/>
      <c r="B32" s="408"/>
      <c r="C32" s="408"/>
      <c r="D32" s="408"/>
      <c r="E32" s="408"/>
      <c r="F32" s="408"/>
      <c r="G32" s="408"/>
      <c r="H32" s="408"/>
      <c r="I32" s="408"/>
    </row>
    <row r="33" spans="1:10" s="204" customFormat="1" x14ac:dyDescent="0.2">
      <c r="A33" s="408"/>
      <c r="B33" s="408"/>
      <c r="C33" s="408"/>
      <c r="D33" s="408"/>
      <c r="E33" s="408"/>
      <c r="F33" s="408"/>
      <c r="G33" s="408"/>
      <c r="H33" s="408"/>
      <c r="I33" s="408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1707</v>
      </c>
      <c r="G36" s="126">
        <v>1937</v>
      </c>
      <c r="H36" s="110" t="s">
        <v>39</v>
      </c>
      <c r="I36" s="127">
        <f>G36/F36</f>
        <v>1.1347393087287638</v>
      </c>
      <c r="J36" s="292"/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456.81799999999998</v>
      </c>
      <c r="G37" s="126">
        <v>456.89100000000002</v>
      </c>
      <c r="H37" s="110" t="s">
        <v>39</v>
      </c>
      <c r="I37" s="127">
        <f>G37/F37</f>
        <v>1.0001598010586275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343</v>
      </c>
      <c r="G39" s="126">
        <v>343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5" customHeight="1" x14ac:dyDescent="0.2">
      <c r="A41" s="405" t="s">
        <v>311</v>
      </c>
      <c r="B41" s="405"/>
      <c r="C41" s="405"/>
      <c r="D41" s="405"/>
      <c r="E41" s="405"/>
      <c r="F41" s="405"/>
      <c r="G41" s="405"/>
      <c r="H41" s="405"/>
      <c r="I41" s="405"/>
      <c r="J41" s="74"/>
    </row>
    <row r="42" spans="1:10" ht="15" customHeight="1" x14ac:dyDescent="0.2">
      <c r="A42" s="406"/>
      <c r="B42" s="406"/>
      <c r="C42" s="406"/>
      <c r="D42" s="406"/>
      <c r="E42" s="406"/>
      <c r="F42" s="406"/>
      <c r="G42" s="406"/>
      <c r="H42" s="406"/>
      <c r="I42" s="406"/>
      <c r="J42" s="74"/>
    </row>
    <row r="43" spans="1:10" ht="15" customHeight="1" x14ac:dyDescent="0.2">
      <c r="A43" s="397" t="s">
        <v>297</v>
      </c>
      <c r="B43" s="397"/>
      <c r="C43" s="397"/>
      <c r="D43" s="397"/>
      <c r="E43" s="397"/>
      <c r="F43" s="397"/>
      <c r="G43" s="397"/>
      <c r="H43" s="397"/>
      <c r="I43" s="397"/>
      <c r="J43" s="74"/>
    </row>
    <row r="44" spans="1:10" ht="15" customHeight="1" x14ac:dyDescent="0.2">
      <c r="A44" s="133"/>
      <c r="B44" s="133"/>
      <c r="C44" s="133"/>
      <c r="D44" s="133"/>
      <c r="E44" s="133"/>
      <c r="F44" s="133"/>
      <c r="G44" s="133"/>
      <c r="H44" s="133"/>
      <c r="I44" s="133"/>
    </row>
    <row r="45" spans="1:10" ht="19.5" thickBot="1" x14ac:dyDescent="0.45">
      <c r="A45" s="93" t="s">
        <v>11</v>
      </c>
      <c r="B45" s="93" t="s">
        <v>12</v>
      </c>
      <c r="C45" s="95"/>
      <c r="D45" s="97"/>
      <c r="E45" s="97"/>
      <c r="F45" s="134"/>
      <c r="G45" s="135"/>
      <c r="H45" s="393" t="s">
        <v>125</v>
      </c>
      <c r="I45" s="394"/>
    </row>
    <row r="46" spans="1:10" ht="18.75" thickTop="1" x14ac:dyDescent="0.35">
      <c r="A46" s="136"/>
      <c r="B46" s="137"/>
      <c r="C46" s="138"/>
      <c r="D46" s="137"/>
      <c r="E46" s="293" t="s">
        <v>291</v>
      </c>
      <c r="F46" s="294" t="s">
        <v>9</v>
      </c>
      <c r="G46" s="294" t="s">
        <v>10</v>
      </c>
      <c r="H46" s="301" t="s">
        <v>13</v>
      </c>
      <c r="I46" s="302" t="s">
        <v>126</v>
      </c>
    </row>
    <row r="47" spans="1:10" x14ac:dyDescent="0.2">
      <c r="A47" s="139"/>
      <c r="B47" s="134"/>
      <c r="C47" s="134"/>
      <c r="D47" s="134"/>
      <c r="E47" s="295"/>
      <c r="F47" s="392"/>
      <c r="G47" s="296"/>
      <c r="H47" s="303">
        <v>40543</v>
      </c>
      <c r="I47" s="304">
        <v>40543</v>
      </c>
    </row>
    <row r="48" spans="1:10" x14ac:dyDescent="0.2">
      <c r="A48" s="139"/>
      <c r="B48" s="134"/>
      <c r="C48" s="134"/>
      <c r="D48" s="134"/>
      <c r="E48" s="295"/>
      <c r="F48" s="392"/>
      <c r="G48" s="297"/>
      <c r="H48" s="297"/>
      <c r="I48" s="298"/>
    </row>
    <row r="49" spans="1:9" ht="13.5" thickBot="1" x14ac:dyDescent="0.25">
      <c r="A49" s="140"/>
      <c r="B49" s="141"/>
      <c r="C49" s="141"/>
      <c r="D49" s="141"/>
      <c r="E49" s="140"/>
      <c r="F49" s="142"/>
      <c r="G49" s="142"/>
      <c r="H49" s="142"/>
      <c r="I49" s="143"/>
    </row>
    <row r="50" spans="1:9" ht="13.5" thickTop="1" x14ac:dyDescent="0.2">
      <c r="A50" s="144"/>
      <c r="B50" s="145"/>
      <c r="C50" s="145" t="s">
        <v>6</v>
      </c>
      <c r="D50" s="145"/>
      <c r="E50" s="146">
        <v>0</v>
      </c>
      <c r="F50" s="147">
        <v>0</v>
      </c>
      <c r="G50" s="148">
        <v>0</v>
      </c>
      <c r="H50" s="148">
        <f>E50+F50-G50</f>
        <v>0</v>
      </c>
      <c r="I50" s="149">
        <v>0</v>
      </c>
    </row>
    <row r="51" spans="1:9" x14ac:dyDescent="0.2">
      <c r="A51" s="150"/>
      <c r="B51" s="151"/>
      <c r="C51" s="151" t="s">
        <v>8</v>
      </c>
      <c r="D51" s="151"/>
      <c r="E51" s="152">
        <v>96348.28</v>
      </c>
      <c r="F51" s="153">
        <v>570945</v>
      </c>
      <c r="G51" s="154">
        <v>558774</v>
      </c>
      <c r="H51" s="154">
        <f>E51+F51-G51</f>
        <v>108519.28000000003</v>
      </c>
      <c r="I51" s="155">
        <v>79226.81</v>
      </c>
    </row>
    <row r="52" spans="1:9" x14ac:dyDescent="0.2">
      <c r="A52" s="150"/>
      <c r="B52" s="151"/>
      <c r="C52" s="151" t="s">
        <v>7</v>
      </c>
      <c r="D52" s="151"/>
      <c r="E52" s="152">
        <v>349298.61</v>
      </c>
      <c r="F52" s="153">
        <f>464112+146510</f>
        <v>610622</v>
      </c>
      <c r="G52" s="173">
        <f>464112+21510</f>
        <v>485622</v>
      </c>
      <c r="H52" s="154">
        <f>E52+F52-G52</f>
        <v>474298.61</v>
      </c>
      <c r="I52" s="155">
        <v>125000</v>
      </c>
    </row>
    <row r="53" spans="1:9" x14ac:dyDescent="0.2">
      <c r="A53" s="150"/>
      <c r="B53" s="151"/>
      <c r="C53" s="151" t="s">
        <v>15</v>
      </c>
      <c r="D53" s="151"/>
      <c r="E53" s="152">
        <v>456074.05</v>
      </c>
      <c r="F53" s="153">
        <v>598927</v>
      </c>
      <c r="G53" s="154">
        <v>875054</v>
      </c>
      <c r="H53" s="154">
        <f>E53+F53-G53</f>
        <v>179947.05000000005</v>
      </c>
      <c r="I53" s="155">
        <v>52259.15</v>
      </c>
    </row>
    <row r="54" spans="1:9" ht="18.75" thickBot="1" x14ac:dyDescent="0.4">
      <c r="A54" s="156" t="s">
        <v>2</v>
      </c>
      <c r="B54" s="157"/>
      <c r="C54" s="157"/>
      <c r="D54" s="157"/>
      <c r="E54" s="158">
        <f>E50+E51+E52+E53</f>
        <v>901720.94</v>
      </c>
      <c r="F54" s="159">
        <f>F50+F51+F52+F53</f>
        <v>1780494</v>
      </c>
      <c r="G54" s="159">
        <f>G50+G51+G52+G53</f>
        <v>1919450</v>
      </c>
      <c r="H54" s="159">
        <f>H50+H51+H52+H53</f>
        <v>762764.94000000006</v>
      </c>
      <c r="I54" s="160">
        <f>I50+I51+I52+I53</f>
        <v>256485.96</v>
      </c>
    </row>
    <row r="55" spans="1:9" ht="18.75" thickTop="1" x14ac:dyDescent="0.35">
      <c r="A55" s="161"/>
      <c r="B55" s="131"/>
      <c r="C55" s="131"/>
      <c r="D55" s="97"/>
      <c r="E55" s="97"/>
      <c r="F55" s="134"/>
      <c r="G55" s="174"/>
      <c r="H55" s="162"/>
      <c r="I55" s="162"/>
    </row>
    <row r="56" spans="1:9" ht="18" x14ac:dyDescent="0.35">
      <c r="A56" s="161"/>
      <c r="B56" s="131"/>
      <c r="C56" s="131"/>
      <c r="D56" s="97"/>
      <c r="E56" s="97"/>
      <c r="F56" s="134"/>
      <c r="G56" s="163"/>
      <c r="H56" s="164"/>
      <c r="I56" s="164"/>
    </row>
    <row r="57" spans="1:9" ht="18" x14ac:dyDescent="0.35">
      <c r="A57" s="165"/>
      <c r="B57" s="166"/>
      <c r="C57" s="166"/>
      <c r="D57" s="167"/>
      <c r="E57" s="167"/>
      <c r="F57" s="164"/>
      <c r="G57" s="164"/>
      <c r="H57" s="164"/>
      <c r="I57" s="164"/>
    </row>
    <row r="58" spans="1:9" x14ac:dyDescent="0.2">
      <c r="A58" s="168"/>
      <c r="B58" s="168"/>
      <c r="C58" s="168"/>
      <c r="D58" s="168"/>
      <c r="E58" s="168"/>
      <c r="F58" s="168"/>
      <c r="G58" s="168"/>
      <c r="H58" s="168"/>
      <c r="I58" s="168"/>
    </row>
    <row r="59" spans="1:9" x14ac:dyDescent="0.2">
      <c r="A59" s="168"/>
      <c r="B59" s="168"/>
      <c r="C59" s="168"/>
      <c r="D59" s="168"/>
      <c r="E59" s="168"/>
      <c r="F59" s="168"/>
      <c r="G59" s="168"/>
      <c r="H59" s="168"/>
      <c r="I59" s="168"/>
    </row>
  </sheetData>
  <mergeCells count="12">
    <mergeCell ref="H45:I45"/>
    <mergeCell ref="F47:F48"/>
    <mergeCell ref="E5:I5"/>
    <mergeCell ref="E7:I7"/>
    <mergeCell ref="H12:I12"/>
    <mergeCell ref="A31:I33"/>
    <mergeCell ref="A43:I43"/>
    <mergeCell ref="A41:I42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9"/>
  <dimension ref="A1:I57"/>
  <sheetViews>
    <sheetView topLeftCell="A22" zoomScale="110" zoomScaleNormal="110" workbookViewId="0">
      <selection activeCell="A41" sqref="A41:I41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5703125" style="71" customWidth="1"/>
    <col min="10" max="10" width="18.85546875" style="72" customWidth="1"/>
    <col min="11" max="11" width="16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135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168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169</v>
      </c>
      <c r="F6" s="78"/>
      <c r="G6" s="79" t="s">
        <v>40</v>
      </c>
      <c r="H6" s="80">
        <v>1103</v>
      </c>
    </row>
    <row r="7" spans="1:9" ht="6.7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4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20150</v>
      </c>
      <c r="F15" s="33">
        <v>70022</v>
      </c>
      <c r="G15" s="32">
        <f>H15+I15</f>
        <v>71590</v>
      </c>
      <c r="H15" s="34">
        <v>70136</v>
      </c>
      <c r="I15" s="34">
        <v>1454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20150</v>
      </c>
      <c r="F17" s="33">
        <v>70316</v>
      </c>
      <c r="G17" s="32">
        <f>H17+I17</f>
        <v>70954</v>
      </c>
      <c r="H17" s="34">
        <v>69487</v>
      </c>
      <c r="I17" s="34">
        <v>1467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-636</v>
      </c>
      <c r="H23" s="107">
        <f>H17-H15-H21</f>
        <v>-649</v>
      </c>
      <c r="I23" s="107">
        <f>I17-I15-I21</f>
        <v>13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-637476.82999999996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-637476.82999999996</v>
      </c>
      <c r="H30" s="117" t="s">
        <v>120</v>
      </c>
      <c r="I30" s="111"/>
    </row>
    <row r="31" spans="1:9" x14ac:dyDescent="0.2">
      <c r="A31" s="407" t="s">
        <v>316</v>
      </c>
      <c r="B31" s="409"/>
      <c r="C31" s="409"/>
      <c r="D31" s="409"/>
      <c r="E31" s="409"/>
      <c r="F31" s="409"/>
      <c r="G31" s="409"/>
      <c r="H31" s="409"/>
      <c r="I31" s="409"/>
    </row>
    <row r="32" spans="1:9" x14ac:dyDescent="0.2">
      <c r="A32" s="409"/>
      <c r="B32" s="409"/>
      <c r="C32" s="409"/>
      <c r="D32" s="409"/>
      <c r="E32" s="409"/>
      <c r="F32" s="409"/>
      <c r="G32" s="409"/>
      <c r="H32" s="409"/>
      <c r="I32" s="409"/>
    </row>
    <row r="33" spans="1:9" x14ac:dyDescent="0.2">
      <c r="A33" s="409"/>
      <c r="B33" s="409"/>
      <c r="C33" s="409"/>
      <c r="D33" s="409"/>
      <c r="E33" s="409"/>
      <c r="F33" s="409"/>
      <c r="G33" s="409"/>
      <c r="H33" s="409"/>
      <c r="I33" s="409"/>
    </row>
    <row r="34" spans="1:9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9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9" ht="16.5" x14ac:dyDescent="0.35">
      <c r="A36" s="124" t="s">
        <v>33</v>
      </c>
      <c r="B36" s="125"/>
      <c r="C36" s="2"/>
      <c r="D36" s="125"/>
      <c r="E36" s="97"/>
      <c r="F36" s="126">
        <v>1197.3</v>
      </c>
      <c r="G36" s="126">
        <v>1197.3</v>
      </c>
      <c r="H36" s="110" t="s">
        <v>39</v>
      </c>
      <c r="I36" s="127">
        <f>G36/F36</f>
        <v>1</v>
      </c>
    </row>
    <row r="37" spans="1:9" ht="16.5" x14ac:dyDescent="0.35">
      <c r="A37" s="124" t="s">
        <v>123</v>
      </c>
      <c r="B37" s="125"/>
      <c r="C37" s="2"/>
      <c r="D37" s="128"/>
      <c r="E37" s="128"/>
      <c r="F37" s="126">
        <v>6776.4250000000002</v>
      </c>
      <c r="G37" s="126">
        <v>6741.3064999999997</v>
      </c>
      <c r="H37" s="110" t="s">
        <v>39</v>
      </c>
      <c r="I37" s="127">
        <f>G37/F37</f>
        <v>0.99481754760068908</v>
      </c>
    </row>
    <row r="38" spans="1:9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9" ht="16.5" x14ac:dyDescent="0.35">
      <c r="A39" s="124" t="s">
        <v>236</v>
      </c>
      <c r="B39" s="125"/>
      <c r="C39" s="2"/>
      <c r="D39" s="97"/>
      <c r="E39" s="97"/>
      <c r="F39" s="126">
        <v>5082</v>
      </c>
      <c r="G39" s="126">
        <v>5082</v>
      </c>
      <c r="H39" s="110" t="s">
        <v>39</v>
      </c>
      <c r="I39" s="127">
        <f>G39/F39</f>
        <v>1</v>
      </c>
    </row>
    <row r="40" spans="1:9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9" x14ac:dyDescent="0.2">
      <c r="A41" s="397"/>
      <c r="B41" s="397"/>
      <c r="C41" s="397"/>
      <c r="D41" s="397"/>
      <c r="E41" s="397"/>
      <c r="F41" s="397"/>
      <c r="G41" s="397"/>
      <c r="H41" s="397"/>
      <c r="I41" s="397"/>
    </row>
    <row r="42" spans="1:9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9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9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9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9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9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9" ht="13.5" thickTop="1" x14ac:dyDescent="0.2">
      <c r="A48" s="144"/>
      <c r="B48" s="145"/>
      <c r="C48" s="145" t="s">
        <v>6</v>
      </c>
      <c r="D48" s="145"/>
      <c r="E48" s="146">
        <v>0</v>
      </c>
      <c r="F48" s="147">
        <v>0</v>
      </c>
      <c r="G48" s="148">
        <v>0</v>
      </c>
      <c r="H48" s="148">
        <f>E48+F48-G48</f>
        <v>0</v>
      </c>
      <c r="I48" s="149">
        <f>H48</f>
        <v>0</v>
      </c>
    </row>
    <row r="49" spans="1:9" x14ac:dyDescent="0.2">
      <c r="A49" s="150"/>
      <c r="B49" s="151"/>
      <c r="C49" s="151" t="s">
        <v>8</v>
      </c>
      <c r="D49" s="151"/>
      <c r="E49" s="152">
        <v>532698.06000000006</v>
      </c>
      <c r="F49" s="153">
        <v>711948</v>
      </c>
      <c r="G49" s="154">
        <v>728741.75</v>
      </c>
      <c r="H49" s="154">
        <f>E49+F49-G49</f>
        <v>515904.31000000006</v>
      </c>
      <c r="I49" s="155">
        <v>482611.78</v>
      </c>
    </row>
    <row r="50" spans="1:9" x14ac:dyDescent="0.2">
      <c r="A50" s="150"/>
      <c r="B50" s="151"/>
      <c r="C50" s="151" t="s">
        <v>7</v>
      </c>
      <c r="D50" s="151"/>
      <c r="E50" s="152">
        <v>512874.25</v>
      </c>
      <c r="F50" s="153">
        <v>0</v>
      </c>
      <c r="G50" s="154">
        <v>512111.25</v>
      </c>
      <c r="H50" s="154">
        <f>E50+F50-G50</f>
        <v>763</v>
      </c>
      <c r="I50" s="155">
        <f>H50</f>
        <v>763</v>
      </c>
    </row>
    <row r="51" spans="1:9" x14ac:dyDescent="0.2">
      <c r="A51" s="150"/>
      <c r="B51" s="151"/>
      <c r="C51" s="151" t="s">
        <v>15</v>
      </c>
      <c r="D51" s="151"/>
      <c r="E51" s="152">
        <v>56725.83</v>
      </c>
      <c r="F51" s="153">
        <v>6777606.5</v>
      </c>
      <c r="G51" s="154">
        <v>5852277</v>
      </c>
      <c r="H51" s="154">
        <f>E51+F51-G51</f>
        <v>982055.33000000007</v>
      </c>
      <c r="I51" s="155">
        <f>H51</f>
        <v>982055.33000000007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1102298.1400000001</v>
      </c>
      <c r="F52" s="159">
        <f>F48+F49+F50+F51</f>
        <v>7489554.5</v>
      </c>
      <c r="G52" s="159">
        <f>G48+G49+G50+G51</f>
        <v>7093130</v>
      </c>
      <c r="H52" s="159">
        <f>H48+H49+H50+H51</f>
        <v>1498722.6400000001</v>
      </c>
      <c r="I52" s="160">
        <f>I48+I49+I50+I51</f>
        <v>1465430.11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0"/>
  <dimension ref="A1:J56"/>
  <sheetViews>
    <sheetView topLeftCell="A22" zoomScale="110" zoomScaleNormal="110" workbookViewId="0">
      <selection activeCell="G38" sqref="G38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425781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128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170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171</v>
      </c>
      <c r="F6" s="78"/>
      <c r="G6" s="79" t="s">
        <v>40</v>
      </c>
      <c r="H6" s="80">
        <v>1104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28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7256</v>
      </c>
      <c r="F15" s="33">
        <v>28660</v>
      </c>
      <c r="G15" s="32">
        <f>H15+I15</f>
        <v>29514</v>
      </c>
      <c r="H15" s="34">
        <v>29032</v>
      </c>
      <c r="I15" s="34">
        <v>482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7304</v>
      </c>
      <c r="F17" s="33">
        <v>28710</v>
      </c>
      <c r="G17" s="32">
        <f>H17+I17</f>
        <v>29436</v>
      </c>
      <c r="H17" s="34">
        <v>28875</v>
      </c>
      <c r="I17" s="34">
        <v>561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-78</v>
      </c>
      <c r="H23" s="107">
        <f>H17-H15-H21</f>
        <v>-157</v>
      </c>
      <c r="I23" s="107">
        <f>I17-I15-I21</f>
        <v>79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-77629.100000000006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-77629.100000000006</v>
      </c>
      <c r="H30" s="117" t="s">
        <v>120</v>
      </c>
      <c r="I30" s="111"/>
    </row>
    <row r="31" spans="1:9" ht="12.75" customHeight="1" x14ac:dyDescent="0.2">
      <c r="A31" s="410" t="s">
        <v>296</v>
      </c>
      <c r="B31" s="411"/>
      <c r="C31" s="411"/>
      <c r="D31" s="411"/>
      <c r="E31" s="411"/>
      <c r="F31" s="411"/>
      <c r="G31" s="411"/>
      <c r="H31" s="411"/>
      <c r="I31" s="411"/>
    </row>
    <row r="32" spans="1:9" x14ac:dyDescent="0.2">
      <c r="A32" s="411"/>
      <c r="B32" s="411"/>
      <c r="C32" s="411"/>
      <c r="D32" s="411"/>
      <c r="E32" s="411"/>
      <c r="F32" s="411"/>
      <c r="G32" s="411"/>
      <c r="H32" s="411"/>
      <c r="I32" s="411"/>
    </row>
    <row r="33" spans="1:10" x14ac:dyDescent="0.2">
      <c r="A33" s="411"/>
      <c r="B33" s="411"/>
      <c r="C33" s="411"/>
      <c r="D33" s="411"/>
      <c r="E33" s="411"/>
      <c r="F33" s="411"/>
      <c r="G33" s="411"/>
      <c r="H33" s="411"/>
      <c r="I33" s="411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1554.307</v>
      </c>
      <c r="G37" s="126">
        <v>1542.499</v>
      </c>
      <c r="H37" s="110" t="s">
        <v>39</v>
      </c>
      <c r="I37" s="127">
        <f>G37/F37</f>
        <v>0.99240304521564915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1166</v>
      </c>
      <c r="G39" s="126">
        <v>1166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8" x14ac:dyDescent="0.35">
      <c r="A41" s="124"/>
      <c r="B41" s="176"/>
      <c r="C41" s="176"/>
      <c r="D41" s="177"/>
      <c r="E41" s="177"/>
      <c r="F41" s="178"/>
      <c r="G41" s="179"/>
      <c r="H41" s="110"/>
      <c r="I41" s="180"/>
      <c r="J41" s="74"/>
    </row>
    <row r="42" spans="1:10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10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10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10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10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10" ht="13.5" thickTop="1" x14ac:dyDescent="0.2">
      <c r="A47" s="144"/>
      <c r="B47" s="145"/>
      <c r="C47" s="145" t="s">
        <v>6</v>
      </c>
      <c r="D47" s="145"/>
      <c r="E47" s="146">
        <v>6945</v>
      </c>
      <c r="F47" s="147">
        <v>1000</v>
      </c>
      <c r="G47" s="148">
        <v>7000</v>
      </c>
      <c r="H47" s="148">
        <f>E47+F47-G47</f>
        <v>945</v>
      </c>
      <c r="I47" s="149">
        <f>H47</f>
        <v>945</v>
      </c>
    </row>
    <row r="48" spans="1:10" x14ac:dyDescent="0.2">
      <c r="A48" s="150"/>
      <c r="B48" s="151"/>
      <c r="C48" s="151" t="s">
        <v>8</v>
      </c>
      <c r="D48" s="151"/>
      <c r="E48" s="152">
        <v>309870.21999999997</v>
      </c>
      <c r="F48" s="153">
        <v>308984</v>
      </c>
      <c r="G48" s="154">
        <v>378536.5</v>
      </c>
      <c r="H48" s="154">
        <f>E48+F48-G48</f>
        <v>240317.71999999997</v>
      </c>
      <c r="I48" s="155">
        <v>145915.72</v>
      </c>
    </row>
    <row r="49" spans="1:9" x14ac:dyDescent="0.2">
      <c r="A49" s="150"/>
      <c r="B49" s="151"/>
      <c r="C49" s="151" t="s">
        <v>7</v>
      </c>
      <c r="D49" s="151"/>
      <c r="E49" s="152">
        <f>244554.11+27647</f>
        <v>272201.11</v>
      </c>
      <c r="F49" s="153">
        <f>15013.87+281039</f>
        <v>296052.87</v>
      </c>
      <c r="G49" s="154">
        <f>16800+308686</f>
        <v>325486</v>
      </c>
      <c r="H49" s="154">
        <f>E49+F49-G49</f>
        <v>242767.97999999998</v>
      </c>
      <c r="I49" s="155">
        <f>H49-113400</f>
        <v>129367.97999999998</v>
      </c>
    </row>
    <row r="50" spans="1:9" x14ac:dyDescent="0.2">
      <c r="A50" s="150"/>
      <c r="B50" s="151"/>
      <c r="C50" s="151" t="s">
        <v>15</v>
      </c>
      <c r="D50" s="151"/>
      <c r="E50" s="152">
        <v>112070.47</v>
      </c>
      <c r="F50" s="153">
        <v>1653332</v>
      </c>
      <c r="G50" s="154">
        <v>1420725.4</v>
      </c>
      <c r="H50" s="154">
        <f>E50+F50-G50</f>
        <v>344677.07000000007</v>
      </c>
      <c r="I50" s="155">
        <v>356485.07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701086.79999999993</v>
      </c>
      <c r="F51" s="159">
        <f>F47+F48+F49+F50</f>
        <v>2259368.87</v>
      </c>
      <c r="G51" s="159">
        <f>G47+G48+G49+G50</f>
        <v>2131747.9</v>
      </c>
      <c r="H51" s="159">
        <f>H47+H48+H49+H50</f>
        <v>828707.77</v>
      </c>
      <c r="I51" s="160">
        <f>I47+I48+I49+I50</f>
        <v>632713.77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J57"/>
  <sheetViews>
    <sheetView topLeftCell="A10" zoomScale="110" zoomScaleNormal="110" workbookViewId="0">
      <selection activeCell="I50" sqref="I5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425781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136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172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173</v>
      </c>
      <c r="F6" s="78"/>
      <c r="G6" s="79" t="s">
        <v>40</v>
      </c>
      <c r="H6" s="80">
        <v>1105</v>
      </c>
    </row>
    <row r="7" spans="1:9" ht="9" customHeight="1" x14ac:dyDescent="0.4">
      <c r="A7" s="76"/>
      <c r="E7" s="390" t="s">
        <v>116</v>
      </c>
      <c r="F7" s="390"/>
      <c r="G7" s="390"/>
      <c r="H7" s="390"/>
      <c r="I7" s="390"/>
    </row>
    <row r="8" spans="1:9" ht="4.5" customHeight="1" x14ac:dyDescent="0.4">
      <c r="A8" s="76"/>
      <c r="E8" s="81"/>
      <c r="F8" s="81"/>
      <c r="G8" s="81"/>
      <c r="H8" s="79"/>
      <c r="I8" s="81"/>
    </row>
    <row r="9" spans="1:9" ht="34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3381</v>
      </c>
      <c r="F15" s="33">
        <v>20254</v>
      </c>
      <c r="G15" s="32">
        <f>H15+I15</f>
        <v>20254</v>
      </c>
      <c r="H15" s="34">
        <v>19691</v>
      </c>
      <c r="I15" s="34">
        <v>563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3381</v>
      </c>
      <c r="F17" s="33">
        <v>20403</v>
      </c>
      <c r="G17" s="32">
        <f>H17+I17</f>
        <v>20403</v>
      </c>
      <c r="H17" s="34">
        <v>19691</v>
      </c>
      <c r="I17" s="34">
        <v>712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149</v>
      </c>
      <c r="H23" s="107">
        <f>H17-H15-H21</f>
        <v>0</v>
      </c>
      <c r="I23" s="107">
        <f>I17-I15-I21</f>
        <v>149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148148.03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15000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133148.03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908.68700000000001</v>
      </c>
      <c r="G37" s="126">
        <v>908.68700000000001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682</v>
      </c>
      <c r="G39" s="126">
        <v>682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196"/>
      <c r="B41" s="133"/>
      <c r="C41" s="133"/>
      <c r="D41" s="133"/>
      <c r="E41" s="133"/>
      <c r="F41" s="133"/>
      <c r="G41" s="133"/>
      <c r="H41" s="133"/>
      <c r="I41" s="133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48000</v>
      </c>
      <c r="F48" s="147">
        <v>10000</v>
      </c>
      <c r="G48" s="148">
        <v>5000</v>
      </c>
      <c r="H48" s="148">
        <f>E48+F48-G48</f>
        <v>53000</v>
      </c>
      <c r="I48" s="149">
        <f>H48</f>
        <v>53000</v>
      </c>
    </row>
    <row r="49" spans="1:9" x14ac:dyDescent="0.2">
      <c r="A49" s="150"/>
      <c r="B49" s="151"/>
      <c r="C49" s="151" t="s">
        <v>8</v>
      </c>
      <c r="D49" s="151"/>
      <c r="E49" s="152">
        <v>67837.259999999995</v>
      </c>
      <c r="F49" s="153">
        <v>238160.5</v>
      </c>
      <c r="G49" s="154">
        <v>244426</v>
      </c>
      <c r="H49" s="154">
        <f>E49+F49-G49</f>
        <v>61571.760000000009</v>
      </c>
      <c r="I49" s="155">
        <v>49239.76</v>
      </c>
    </row>
    <row r="50" spans="1:9" x14ac:dyDescent="0.2">
      <c r="A50" s="150"/>
      <c r="B50" s="151"/>
      <c r="C50" s="151" t="s">
        <v>7</v>
      </c>
      <c r="D50" s="151"/>
      <c r="E50" s="152">
        <v>63323.69</v>
      </c>
      <c r="F50" s="153">
        <f>92812.56+43119</f>
        <v>135931.56</v>
      </c>
      <c r="G50" s="154">
        <f>32127.8+43019</f>
        <v>75146.8</v>
      </c>
      <c r="H50" s="154">
        <f>E50+F50-G50</f>
        <v>124108.45</v>
      </c>
      <c r="I50" s="155">
        <f>H50</f>
        <v>124108.45</v>
      </c>
    </row>
    <row r="51" spans="1:9" x14ac:dyDescent="0.2">
      <c r="A51" s="150"/>
      <c r="B51" s="151"/>
      <c r="C51" s="151" t="s">
        <v>15</v>
      </c>
      <c r="D51" s="151"/>
      <c r="E51" s="152">
        <v>327345.43</v>
      </c>
      <c r="F51" s="153">
        <v>987942</v>
      </c>
      <c r="G51" s="154">
        <v>775000</v>
      </c>
      <c r="H51" s="154">
        <f>E51+F51-G51</f>
        <v>540287.42999999993</v>
      </c>
      <c r="I51" s="155">
        <f>H51</f>
        <v>540287.42999999993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506506.38</v>
      </c>
      <c r="F52" s="159">
        <f>F48+F49+F50+F51</f>
        <v>1372034.06</v>
      </c>
      <c r="G52" s="159">
        <f>G48+G49+G50+G51</f>
        <v>1099572.8</v>
      </c>
      <c r="H52" s="159">
        <f>H48+H49+H50+H51</f>
        <v>778967.6399999999</v>
      </c>
      <c r="I52" s="160">
        <f>I48+I49+I50+I51</f>
        <v>766635.6399999999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2:I12"/>
    <mergeCell ref="A31:I33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2"/>
  <dimension ref="A1:J58"/>
  <sheetViews>
    <sheetView topLeftCell="A19" zoomScale="110" zoomScaleNormal="110" workbookViewId="0">
      <selection activeCell="A31" sqref="A31:I33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35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174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175</v>
      </c>
      <c r="F6" s="78"/>
      <c r="G6" s="79" t="s">
        <v>40</v>
      </c>
      <c r="H6" s="80">
        <v>1120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29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3678</v>
      </c>
      <c r="F15" s="33">
        <v>36111</v>
      </c>
      <c r="G15" s="32">
        <f>H15+I15</f>
        <v>36453</v>
      </c>
      <c r="H15" s="34">
        <v>36440</v>
      </c>
      <c r="I15" s="34">
        <v>13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3678</v>
      </c>
      <c r="F17" s="33">
        <v>37206</v>
      </c>
      <c r="G17" s="32">
        <f>H17+I17</f>
        <v>36553</v>
      </c>
      <c r="H17" s="34">
        <v>36506</v>
      </c>
      <c r="I17" s="34">
        <v>47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100</v>
      </c>
      <c r="H23" s="107">
        <f>H17-H15-H21</f>
        <v>66</v>
      </c>
      <c r="I23" s="107">
        <f>I17-I15-I21</f>
        <v>34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99879.23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89879.23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ht="12.75" customHeight="1" x14ac:dyDescent="0.2">
      <c r="A31" s="412"/>
      <c r="B31" s="412"/>
      <c r="C31" s="412"/>
      <c r="D31" s="412"/>
      <c r="E31" s="412"/>
      <c r="F31" s="412"/>
      <c r="G31" s="412"/>
      <c r="H31" s="412"/>
      <c r="I31" s="412"/>
    </row>
    <row r="32" spans="1:9" x14ac:dyDescent="0.2">
      <c r="A32" s="412"/>
      <c r="B32" s="412"/>
      <c r="C32" s="412"/>
      <c r="D32" s="412"/>
      <c r="E32" s="412"/>
      <c r="F32" s="412"/>
      <c r="G32" s="412"/>
      <c r="H32" s="412"/>
      <c r="I32" s="412"/>
    </row>
    <row r="33" spans="1:10" x14ac:dyDescent="0.2">
      <c r="A33" s="412"/>
      <c r="B33" s="412"/>
      <c r="C33" s="412"/>
      <c r="D33" s="412"/>
      <c r="E33" s="412"/>
      <c r="F33" s="412"/>
      <c r="G33" s="412"/>
      <c r="H33" s="412"/>
      <c r="I33" s="412"/>
    </row>
    <row r="34" spans="1:10" x14ac:dyDescent="0.2">
      <c r="A34" s="118"/>
      <c r="B34" s="118"/>
      <c r="C34" s="118"/>
      <c r="D34" s="118"/>
      <c r="E34" s="118"/>
      <c r="F34" s="118"/>
      <c r="G34" s="118"/>
      <c r="H34" s="118"/>
      <c r="I34" s="118"/>
    </row>
    <row r="35" spans="1:10" ht="19.5" x14ac:dyDescent="0.4">
      <c r="A35" s="93" t="s">
        <v>31</v>
      </c>
      <c r="B35" s="93" t="s">
        <v>32</v>
      </c>
      <c r="C35" s="93"/>
      <c r="D35" s="119"/>
      <c r="E35" s="97"/>
      <c r="F35" s="3"/>
      <c r="G35" s="120"/>
      <c r="H35" s="111"/>
      <c r="I35" s="111"/>
    </row>
    <row r="36" spans="1:10" ht="18.75" x14ac:dyDescent="0.4">
      <c r="A36" s="93"/>
      <c r="B36" s="93"/>
      <c r="C36" s="93"/>
      <c r="D36" s="119"/>
      <c r="F36" s="121" t="s">
        <v>121</v>
      </c>
      <c r="G36" s="122" t="s">
        <v>0</v>
      </c>
      <c r="H36" s="88"/>
      <c r="I36" s="123" t="s">
        <v>122</v>
      </c>
    </row>
    <row r="37" spans="1:10" ht="16.5" x14ac:dyDescent="0.35">
      <c r="A37" s="124" t="s">
        <v>33</v>
      </c>
      <c r="B37" s="125"/>
      <c r="C37" s="2"/>
      <c r="D37" s="125"/>
      <c r="E37" s="97"/>
      <c r="F37" s="126">
        <v>0</v>
      </c>
      <c r="G37" s="126">
        <v>0</v>
      </c>
      <c r="H37" s="110" t="s">
        <v>39</v>
      </c>
      <c r="I37" s="127">
        <v>0</v>
      </c>
    </row>
    <row r="38" spans="1:10" ht="16.5" x14ac:dyDescent="0.35">
      <c r="A38" s="124" t="s">
        <v>123</v>
      </c>
      <c r="B38" s="125"/>
      <c r="C38" s="2"/>
      <c r="D38" s="128"/>
      <c r="E38" s="128"/>
      <c r="F38" s="126">
        <v>401</v>
      </c>
      <c r="G38" s="126">
        <v>400.96300000000002</v>
      </c>
      <c r="H38" s="110" t="s">
        <v>39</v>
      </c>
      <c r="I38" s="127">
        <f>G38/F38</f>
        <v>0.99990773067331673</v>
      </c>
    </row>
    <row r="39" spans="1:10" ht="16.5" x14ac:dyDescent="0.35">
      <c r="A39" s="124" t="s">
        <v>124</v>
      </c>
      <c r="B39" s="125"/>
      <c r="C39" s="2"/>
      <c r="D39" s="128"/>
      <c r="E39" s="128"/>
      <c r="F39" s="126">
        <v>0</v>
      </c>
      <c r="G39" s="126">
        <v>0</v>
      </c>
      <c r="H39" s="110" t="s">
        <v>39</v>
      </c>
      <c r="I39" s="130" t="s">
        <v>241</v>
      </c>
    </row>
    <row r="40" spans="1:10" ht="16.5" x14ac:dyDescent="0.35">
      <c r="A40" s="124" t="s">
        <v>236</v>
      </c>
      <c r="B40" s="125"/>
      <c r="C40" s="2"/>
      <c r="D40" s="97"/>
      <c r="E40" s="97"/>
      <c r="F40" s="126">
        <v>301</v>
      </c>
      <c r="G40" s="126">
        <v>301</v>
      </c>
      <c r="H40" s="110" t="s">
        <v>39</v>
      </c>
      <c r="I40" s="127">
        <f>G40/F40</f>
        <v>1</v>
      </c>
    </row>
    <row r="41" spans="1:10" ht="18" x14ac:dyDescent="0.35">
      <c r="A41" s="124" t="s">
        <v>237</v>
      </c>
      <c r="B41" s="176"/>
      <c r="C41" s="176"/>
      <c r="D41" s="177"/>
      <c r="E41" s="177"/>
      <c r="F41" s="178">
        <v>0</v>
      </c>
      <c r="G41" s="179">
        <v>0</v>
      </c>
      <c r="H41" s="110" t="s">
        <v>39</v>
      </c>
      <c r="I41" s="203" t="s">
        <v>241</v>
      </c>
      <c r="J41" s="74"/>
    </row>
    <row r="42" spans="1:10" x14ac:dyDescent="0.2">
      <c r="A42" s="397"/>
      <c r="B42" s="397"/>
      <c r="C42" s="397"/>
      <c r="D42" s="397"/>
      <c r="E42" s="397"/>
      <c r="F42" s="397"/>
      <c r="G42" s="397"/>
      <c r="H42" s="397"/>
      <c r="I42" s="397"/>
    </row>
    <row r="43" spans="1:10" x14ac:dyDescent="0.2">
      <c r="A43" s="299"/>
      <c r="B43" s="299"/>
      <c r="C43" s="299"/>
      <c r="D43" s="299"/>
      <c r="E43" s="299"/>
      <c r="F43" s="299"/>
      <c r="G43" s="299"/>
      <c r="H43" s="299"/>
      <c r="I43" s="299"/>
    </row>
    <row r="44" spans="1:10" ht="19.5" thickBot="1" x14ac:dyDescent="0.45">
      <c r="A44" s="93" t="s">
        <v>11</v>
      </c>
      <c r="B44" s="93" t="s">
        <v>12</v>
      </c>
      <c r="C44" s="95"/>
      <c r="D44" s="97"/>
      <c r="E44" s="97"/>
      <c r="F44" s="134"/>
      <c r="G44" s="135"/>
      <c r="H44" s="393" t="s">
        <v>125</v>
      </c>
      <c r="I44" s="394"/>
    </row>
    <row r="45" spans="1:10" ht="18.75" thickTop="1" x14ac:dyDescent="0.35">
      <c r="A45" s="136"/>
      <c r="B45" s="137"/>
      <c r="C45" s="138"/>
      <c r="D45" s="137"/>
      <c r="E45" s="293" t="s">
        <v>291</v>
      </c>
      <c r="F45" s="294" t="s">
        <v>9</v>
      </c>
      <c r="G45" s="294" t="s">
        <v>10</v>
      </c>
      <c r="H45" s="301" t="s">
        <v>13</v>
      </c>
      <c r="I45" s="302" t="s">
        <v>126</v>
      </c>
    </row>
    <row r="46" spans="1:10" x14ac:dyDescent="0.2">
      <c r="A46" s="139"/>
      <c r="B46" s="134"/>
      <c r="C46" s="134"/>
      <c r="D46" s="134"/>
      <c r="E46" s="295"/>
      <c r="F46" s="392"/>
      <c r="G46" s="296"/>
      <c r="H46" s="303">
        <v>40543</v>
      </c>
      <c r="I46" s="304">
        <v>40543</v>
      </c>
    </row>
    <row r="47" spans="1:10" x14ac:dyDescent="0.2">
      <c r="A47" s="139"/>
      <c r="B47" s="134"/>
      <c r="C47" s="134"/>
      <c r="D47" s="134"/>
      <c r="E47" s="295"/>
      <c r="F47" s="392"/>
      <c r="G47" s="297"/>
      <c r="H47" s="297"/>
      <c r="I47" s="298"/>
    </row>
    <row r="48" spans="1:10" ht="13.5" thickBot="1" x14ac:dyDescent="0.25">
      <c r="A48" s="140"/>
      <c r="B48" s="141"/>
      <c r="C48" s="141"/>
      <c r="D48" s="141"/>
      <c r="E48" s="140"/>
      <c r="F48" s="142"/>
      <c r="G48" s="142"/>
      <c r="H48" s="142"/>
      <c r="I48" s="143"/>
    </row>
    <row r="49" spans="1:9" ht="13.5" thickTop="1" x14ac:dyDescent="0.2">
      <c r="A49" s="144"/>
      <c r="B49" s="145"/>
      <c r="C49" s="145" t="s">
        <v>6</v>
      </c>
      <c r="D49" s="145"/>
      <c r="E49" s="146">
        <v>0</v>
      </c>
      <c r="F49" s="147">
        <v>8900</v>
      </c>
      <c r="G49" s="148">
        <v>2000</v>
      </c>
      <c r="H49" s="148">
        <f>E49+F49-G49</f>
        <v>6900</v>
      </c>
      <c r="I49" s="149">
        <f>H49</f>
        <v>6900</v>
      </c>
    </row>
    <row r="50" spans="1:9" x14ac:dyDescent="0.2">
      <c r="A50" s="150"/>
      <c r="B50" s="151"/>
      <c r="C50" s="151" t="s">
        <v>8</v>
      </c>
      <c r="D50" s="151"/>
      <c r="E50" s="152">
        <v>183338.45</v>
      </c>
      <c r="F50" s="153">
        <v>372760</v>
      </c>
      <c r="G50" s="154">
        <v>308596.5</v>
      </c>
      <c r="H50" s="154">
        <f>E50+F50-G50</f>
        <v>247501.94999999995</v>
      </c>
      <c r="I50" s="155">
        <v>200163.43</v>
      </c>
    </row>
    <row r="51" spans="1:9" x14ac:dyDescent="0.2">
      <c r="A51" s="150"/>
      <c r="B51" s="151"/>
      <c r="C51" s="151" t="s">
        <v>7</v>
      </c>
      <c r="D51" s="151"/>
      <c r="E51" s="152">
        <f>70196.65+1710576.94</f>
        <v>1780773.5899999999</v>
      </c>
      <c r="F51" s="153">
        <v>35758.53</v>
      </c>
      <c r="G51" s="154">
        <v>1710576.94</v>
      </c>
      <c r="H51" s="154">
        <f>E51+F51-G51</f>
        <v>105955.17999999993</v>
      </c>
      <c r="I51" s="155">
        <f>H51</f>
        <v>105955.17999999993</v>
      </c>
    </row>
    <row r="52" spans="1:9" x14ac:dyDescent="0.2">
      <c r="A52" s="150"/>
      <c r="B52" s="151"/>
      <c r="C52" s="151" t="s">
        <v>15</v>
      </c>
      <c r="D52" s="151"/>
      <c r="E52" s="152">
        <v>377397.25</v>
      </c>
      <c r="F52" s="153">
        <v>400963</v>
      </c>
      <c r="G52" s="154">
        <v>509560</v>
      </c>
      <c r="H52" s="154">
        <f>E52+F52-G52</f>
        <v>268800.25</v>
      </c>
      <c r="I52" s="155">
        <v>268837.25</v>
      </c>
    </row>
    <row r="53" spans="1:9" ht="18.75" thickBot="1" x14ac:dyDescent="0.4">
      <c r="A53" s="156" t="s">
        <v>2</v>
      </c>
      <c r="B53" s="157"/>
      <c r="C53" s="157"/>
      <c r="D53" s="157"/>
      <c r="E53" s="158">
        <f>E49+E50+E51+E52</f>
        <v>2341509.29</v>
      </c>
      <c r="F53" s="159">
        <f>F49+F50+F51+F52</f>
        <v>818381.53</v>
      </c>
      <c r="G53" s="159">
        <f>G49+G50+G51+G52</f>
        <v>2530733.44</v>
      </c>
      <c r="H53" s="159">
        <f>H49+H50+H51+H52</f>
        <v>629157.37999999989</v>
      </c>
      <c r="I53" s="160">
        <f>I49+I50+I51+I52</f>
        <v>581855.85999999987</v>
      </c>
    </row>
    <row r="54" spans="1:9" ht="18.75" thickTop="1" x14ac:dyDescent="0.35">
      <c r="A54" s="161"/>
      <c r="B54" s="131"/>
      <c r="C54" s="131"/>
      <c r="D54" s="97"/>
      <c r="E54" s="97"/>
      <c r="F54" s="134"/>
      <c r="G54" s="135"/>
      <c r="H54" s="162"/>
      <c r="I54" s="162"/>
    </row>
    <row r="55" spans="1:9" ht="18" x14ac:dyDescent="0.35">
      <c r="A55" s="161"/>
      <c r="B55" s="131"/>
      <c r="C55" s="131"/>
      <c r="D55" s="97"/>
      <c r="E55" s="97"/>
      <c r="F55" s="134"/>
      <c r="G55" s="163"/>
      <c r="H55" s="164"/>
      <c r="I55" s="164"/>
    </row>
    <row r="56" spans="1:9" ht="18" x14ac:dyDescent="0.35">
      <c r="A56" s="165"/>
      <c r="B56" s="166"/>
      <c r="C56" s="166"/>
      <c r="D56" s="167"/>
      <c r="E56" s="167"/>
      <c r="F56" s="164"/>
      <c r="G56" s="164"/>
      <c r="H56" s="164"/>
      <c r="I56" s="164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  <row r="58" spans="1:9" x14ac:dyDescent="0.2">
      <c r="A58" s="168"/>
      <c r="B58" s="168"/>
      <c r="C58" s="168"/>
      <c r="D58" s="168"/>
      <c r="E58" s="168"/>
      <c r="F58" s="168"/>
      <c r="G58" s="168"/>
      <c r="H58" s="168"/>
      <c r="I58" s="168"/>
    </row>
  </sheetData>
  <mergeCells count="11">
    <mergeCell ref="H44:I44"/>
    <mergeCell ref="F46:F47"/>
    <mergeCell ref="E5:I5"/>
    <mergeCell ref="E7:I7"/>
    <mergeCell ref="H12:I12"/>
    <mergeCell ref="A31:I33"/>
    <mergeCell ref="A42:I42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3"/>
  <dimension ref="A1:J56"/>
  <sheetViews>
    <sheetView topLeftCell="A13" zoomScale="110" zoomScaleNormal="110" workbookViewId="0">
      <selection activeCell="I49" sqref="I49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112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286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176</v>
      </c>
      <c r="F6" s="78"/>
      <c r="G6" s="79" t="s">
        <v>40</v>
      </c>
      <c r="H6" s="80">
        <v>1121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1.5" customHeight="1" x14ac:dyDescent="0.4">
      <c r="A8" s="76"/>
      <c r="E8" s="81"/>
      <c r="F8" s="81"/>
      <c r="G8" s="81"/>
      <c r="H8" s="79"/>
      <c r="I8" s="81"/>
    </row>
    <row r="9" spans="1:9" ht="30.7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3042</v>
      </c>
      <c r="F15" s="33">
        <v>23600</v>
      </c>
      <c r="G15" s="32">
        <f>H15+I15</f>
        <v>23899</v>
      </c>
      <c r="H15" s="34">
        <v>23776</v>
      </c>
      <c r="I15" s="34">
        <v>123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3042</v>
      </c>
      <c r="F17" s="33">
        <v>23861</v>
      </c>
      <c r="G17" s="32">
        <f>H17+I17</f>
        <v>23970</v>
      </c>
      <c r="H17" s="34">
        <v>23477</v>
      </c>
      <c r="I17" s="34">
        <v>493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71</v>
      </c>
      <c r="H23" s="107">
        <f>H17-H15-H21</f>
        <v>-299</v>
      </c>
      <c r="I23" s="107">
        <f>I17-I15-I21</f>
        <v>370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70111.87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15000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55111.87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330.88600000000002</v>
      </c>
      <c r="G37" s="126">
        <v>330.35</v>
      </c>
      <c r="H37" s="110" t="s">
        <v>39</v>
      </c>
      <c r="I37" s="127">
        <f>G37/F37</f>
        <v>0.99838010674371236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248</v>
      </c>
      <c r="G39" s="126">
        <v>248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8" x14ac:dyDescent="0.35">
      <c r="A41" s="124"/>
      <c r="B41" s="176"/>
      <c r="C41" s="176"/>
      <c r="D41" s="177"/>
      <c r="E41" s="177"/>
      <c r="F41" s="178"/>
      <c r="G41" s="179"/>
      <c r="H41" s="110"/>
      <c r="I41" s="180"/>
      <c r="J41" s="74"/>
    </row>
    <row r="42" spans="1:10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10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10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10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10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10" ht="13.5" thickTop="1" x14ac:dyDescent="0.2">
      <c r="A47" s="144"/>
      <c r="B47" s="145"/>
      <c r="C47" s="145" t="s">
        <v>6</v>
      </c>
      <c r="D47" s="145"/>
      <c r="E47" s="146">
        <v>22000</v>
      </c>
      <c r="F47" s="147">
        <v>15000</v>
      </c>
      <c r="G47" s="148">
        <v>16500</v>
      </c>
      <c r="H47" s="148">
        <f>E47+F47-G47</f>
        <v>20500</v>
      </c>
      <c r="I47" s="149">
        <f>H47</f>
        <v>20500</v>
      </c>
    </row>
    <row r="48" spans="1:10" x14ac:dyDescent="0.2">
      <c r="A48" s="150"/>
      <c r="B48" s="151"/>
      <c r="C48" s="151" t="s">
        <v>8</v>
      </c>
      <c r="D48" s="151"/>
      <c r="E48" s="152">
        <v>131759.69</v>
      </c>
      <c r="F48" s="153">
        <v>233668.46</v>
      </c>
      <c r="G48" s="154">
        <v>261145</v>
      </c>
      <c r="H48" s="154">
        <f>E48+F48-G48</f>
        <v>104283.15000000002</v>
      </c>
      <c r="I48" s="155">
        <v>90029.67</v>
      </c>
    </row>
    <row r="49" spans="1:9" x14ac:dyDescent="0.2">
      <c r="A49" s="150"/>
      <c r="B49" s="151"/>
      <c r="C49" s="151" t="s">
        <v>7</v>
      </c>
      <c r="D49" s="151"/>
      <c r="E49" s="152">
        <v>42451.05</v>
      </c>
      <c r="F49" s="153">
        <f>431735.42+32451.05+245048</f>
        <v>709234.47</v>
      </c>
      <c r="G49" s="154">
        <v>249099.05</v>
      </c>
      <c r="H49" s="154">
        <f>E49+F49-G49</f>
        <v>502586.47000000003</v>
      </c>
      <c r="I49" s="155">
        <f>H49</f>
        <v>502586.47000000003</v>
      </c>
    </row>
    <row r="50" spans="1:9" x14ac:dyDescent="0.2">
      <c r="A50" s="150"/>
      <c r="B50" s="151"/>
      <c r="C50" s="151" t="s">
        <v>15</v>
      </c>
      <c r="D50" s="151"/>
      <c r="E50" s="152">
        <v>47505.120000000003</v>
      </c>
      <c r="F50" s="153">
        <v>333916</v>
      </c>
      <c r="G50" s="154">
        <v>381421.12</v>
      </c>
      <c r="H50" s="154">
        <f>E50+F50-G50</f>
        <v>0</v>
      </c>
      <c r="I50" s="155">
        <f>H50</f>
        <v>0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243715.86</v>
      </c>
      <c r="F51" s="159">
        <f>F47+F48+F49+F50</f>
        <v>1291818.93</v>
      </c>
      <c r="G51" s="159">
        <f>G47+G48+G49+G50</f>
        <v>908165.17</v>
      </c>
      <c r="H51" s="159">
        <f>H47+H48+H49+H50</f>
        <v>627369.62000000011</v>
      </c>
      <c r="I51" s="160">
        <f>I47+I48+I49+I50</f>
        <v>613116.14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4"/>
  <dimension ref="A1:J57"/>
  <sheetViews>
    <sheetView topLeftCell="A13" zoomScale="110" zoomScaleNormal="110" workbookViewId="0">
      <selection activeCell="I50" sqref="I5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177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178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179</v>
      </c>
      <c r="F6" s="78"/>
      <c r="G6" s="79" t="s">
        <v>40</v>
      </c>
      <c r="H6" s="80">
        <v>1122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2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9719</v>
      </c>
      <c r="F15" s="33">
        <v>27423</v>
      </c>
      <c r="G15" s="32">
        <f>H15+I15</f>
        <v>27108</v>
      </c>
      <c r="H15" s="34">
        <v>25113</v>
      </c>
      <c r="I15" s="34">
        <v>1995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9719</v>
      </c>
      <c r="F17" s="33">
        <v>27423</v>
      </c>
      <c r="G17" s="32">
        <f>H17+I17</f>
        <v>27246</v>
      </c>
      <c r="H17" s="34">
        <v>25113</v>
      </c>
      <c r="I17" s="34">
        <v>2133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138</v>
      </c>
      <c r="H23" s="107">
        <f>H17-H15-H21</f>
        <v>0</v>
      </c>
      <c r="I23" s="107">
        <f>I17-I15-I21</f>
        <v>138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138292.60999999999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128292.61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614.91300000000001</v>
      </c>
      <c r="G37" s="126">
        <v>614.91300000000001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461</v>
      </c>
      <c r="G39" s="126">
        <v>461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133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80320</v>
      </c>
      <c r="F48" s="147">
        <v>15000</v>
      </c>
      <c r="G48" s="148">
        <v>9100</v>
      </c>
      <c r="H48" s="148">
        <f>E48+F48-G48</f>
        <v>86220</v>
      </c>
      <c r="I48" s="149">
        <f>H48</f>
        <v>86220</v>
      </c>
    </row>
    <row r="49" spans="1:9" x14ac:dyDescent="0.2">
      <c r="A49" s="150"/>
      <c r="B49" s="151"/>
      <c r="C49" s="151" t="s">
        <v>8</v>
      </c>
      <c r="D49" s="151"/>
      <c r="E49" s="152">
        <v>123260.85</v>
      </c>
      <c r="F49" s="153">
        <v>259263</v>
      </c>
      <c r="G49" s="154">
        <v>273434</v>
      </c>
      <c r="H49" s="154">
        <f>E49+F49-G49</f>
        <v>109089.84999999998</v>
      </c>
      <c r="I49" s="155">
        <v>94113.16</v>
      </c>
    </row>
    <row r="50" spans="1:9" x14ac:dyDescent="0.2">
      <c r="A50" s="150"/>
      <c r="B50" s="151"/>
      <c r="C50" s="151" t="s">
        <v>7</v>
      </c>
      <c r="D50" s="151"/>
      <c r="E50" s="152">
        <f>314902.9+13000</f>
        <v>327902.90000000002</v>
      </c>
      <c r="F50" s="153">
        <f>136725.64+13440</f>
        <v>150165.64000000001</v>
      </c>
      <c r="G50" s="154">
        <v>130068.82</v>
      </c>
      <c r="H50" s="154">
        <f>E50+F50-G50</f>
        <v>347999.72000000003</v>
      </c>
      <c r="I50" s="155">
        <f>H50</f>
        <v>347999.72000000003</v>
      </c>
    </row>
    <row r="51" spans="1:9" x14ac:dyDescent="0.2">
      <c r="A51" s="150"/>
      <c r="B51" s="151"/>
      <c r="C51" s="151" t="s">
        <v>15</v>
      </c>
      <c r="D51" s="151"/>
      <c r="E51" s="152">
        <v>60614.45</v>
      </c>
      <c r="F51" s="153">
        <v>657831</v>
      </c>
      <c r="G51" s="154">
        <v>527944.74</v>
      </c>
      <c r="H51" s="154">
        <f>E51+F51-G51</f>
        <v>190500.70999999996</v>
      </c>
      <c r="I51" s="155">
        <f>H51</f>
        <v>190500.70999999996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592098.19999999995</v>
      </c>
      <c r="F52" s="159">
        <f>F48+F49+F50+F51</f>
        <v>1082259.6400000001</v>
      </c>
      <c r="G52" s="159">
        <f>G48+G49+G50+G51</f>
        <v>940547.56</v>
      </c>
      <c r="H52" s="159">
        <f>H48+H49+H50+H51</f>
        <v>733810.28</v>
      </c>
      <c r="I52" s="160">
        <f>I48+I49+I50+I51</f>
        <v>718833.59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0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5"/>
  <dimension ref="A1:J56"/>
  <sheetViews>
    <sheetView topLeftCell="A25" zoomScale="110" zoomScaleNormal="110" workbookViewId="0">
      <selection activeCell="F42" sqref="F42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180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181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182</v>
      </c>
      <c r="F6" s="78"/>
      <c r="G6" s="79" t="s">
        <v>40</v>
      </c>
      <c r="H6" s="80">
        <v>1123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4.5" customHeight="1" x14ac:dyDescent="0.4">
      <c r="A8" s="76"/>
      <c r="E8" s="81"/>
      <c r="F8" s="81"/>
      <c r="G8" s="81"/>
      <c r="H8" s="79"/>
      <c r="I8" s="81"/>
    </row>
    <row r="9" spans="1:9" ht="36.7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15978</v>
      </c>
      <c r="F15" s="33">
        <v>50401</v>
      </c>
      <c r="G15" s="32">
        <f>H15+I15</f>
        <v>50401</v>
      </c>
      <c r="H15" s="34">
        <v>47546</v>
      </c>
      <c r="I15" s="34">
        <v>2855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16087</v>
      </c>
      <c r="F17" s="33">
        <v>50164</v>
      </c>
      <c r="G17" s="32">
        <f>H17+I17</f>
        <v>50164</v>
      </c>
      <c r="H17" s="34">
        <v>47274</v>
      </c>
      <c r="I17" s="34">
        <v>2890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-237</v>
      </c>
      <c r="H23" s="107">
        <f>H17-H15-H21</f>
        <v>-272</v>
      </c>
      <c r="I23" s="107">
        <f>I17-I15-I21</f>
        <v>35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-238299.74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-238299.74</v>
      </c>
      <c r="H30" s="117" t="s">
        <v>120</v>
      </c>
      <c r="I30" s="111"/>
    </row>
    <row r="31" spans="1:9" ht="12.75" customHeight="1" x14ac:dyDescent="0.2">
      <c r="A31" s="407" t="s">
        <v>317</v>
      </c>
      <c r="B31" s="409"/>
      <c r="C31" s="409"/>
      <c r="D31" s="409"/>
      <c r="E31" s="409"/>
      <c r="F31" s="409"/>
      <c r="G31" s="409"/>
      <c r="H31" s="409"/>
      <c r="I31" s="409"/>
    </row>
    <row r="32" spans="1:9" x14ac:dyDescent="0.2">
      <c r="A32" s="409"/>
      <c r="B32" s="409"/>
      <c r="C32" s="409"/>
      <c r="D32" s="409"/>
      <c r="E32" s="409"/>
      <c r="F32" s="409"/>
      <c r="G32" s="409"/>
      <c r="H32" s="409"/>
      <c r="I32" s="409"/>
    </row>
    <row r="33" spans="1:10" x14ac:dyDescent="0.2">
      <c r="A33" s="409"/>
      <c r="B33" s="409"/>
      <c r="C33" s="409"/>
      <c r="D33" s="409"/>
      <c r="E33" s="409"/>
      <c r="F33" s="409"/>
      <c r="G33" s="409"/>
      <c r="H33" s="409"/>
      <c r="I33" s="40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68.7</v>
      </c>
      <c r="G36" s="126">
        <v>59.1</v>
      </c>
      <c r="H36" s="110" t="s">
        <v>39</v>
      </c>
      <c r="I36" s="127">
        <f>G36/F36</f>
        <v>0.86026200873362446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1770.922</v>
      </c>
      <c r="G37" s="126">
        <v>1770.922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1328</v>
      </c>
      <c r="G39" s="126">
        <v>1328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8" x14ac:dyDescent="0.35">
      <c r="A41" s="124"/>
      <c r="B41" s="176"/>
      <c r="C41" s="176"/>
      <c r="D41" s="177"/>
      <c r="E41" s="177"/>
      <c r="F41" s="178"/>
      <c r="G41" s="179"/>
      <c r="H41" s="110"/>
      <c r="I41" s="180"/>
      <c r="J41" s="74"/>
    </row>
    <row r="42" spans="1:10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10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10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10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10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10" ht="13.5" thickTop="1" x14ac:dyDescent="0.2">
      <c r="A47" s="144"/>
      <c r="B47" s="145"/>
      <c r="C47" s="145" t="s">
        <v>6</v>
      </c>
      <c r="D47" s="145"/>
      <c r="E47" s="146">
        <v>0</v>
      </c>
      <c r="F47" s="147">
        <v>0</v>
      </c>
      <c r="G47" s="148">
        <v>0</v>
      </c>
      <c r="H47" s="148">
        <f>E47+F47-G47</f>
        <v>0</v>
      </c>
      <c r="I47" s="149">
        <v>0</v>
      </c>
    </row>
    <row r="48" spans="1:10" x14ac:dyDescent="0.2">
      <c r="A48" s="150"/>
      <c r="B48" s="151"/>
      <c r="C48" s="151" t="s">
        <v>8</v>
      </c>
      <c r="D48" s="151"/>
      <c r="E48" s="152">
        <v>184987.26</v>
      </c>
      <c r="F48" s="153">
        <v>490923</v>
      </c>
      <c r="G48" s="154">
        <v>453587.78</v>
      </c>
      <c r="H48" s="154">
        <f>E48+F48-G48</f>
        <v>222322.47999999998</v>
      </c>
      <c r="I48" s="155">
        <v>183621.72</v>
      </c>
    </row>
    <row r="49" spans="1:9" x14ac:dyDescent="0.2">
      <c r="A49" s="150"/>
      <c r="B49" s="151"/>
      <c r="C49" s="151" t="s">
        <v>7</v>
      </c>
      <c r="D49" s="151"/>
      <c r="E49" s="152">
        <v>20683.240000000002</v>
      </c>
      <c r="F49" s="153">
        <v>267566</v>
      </c>
      <c r="G49" s="154">
        <v>288249.24</v>
      </c>
      <c r="H49" s="154">
        <f>E49+F49-G49</f>
        <v>0</v>
      </c>
      <c r="I49" s="155">
        <v>99189.24</v>
      </c>
    </row>
    <row r="50" spans="1:9" x14ac:dyDescent="0.2">
      <c r="A50" s="150"/>
      <c r="B50" s="151"/>
      <c r="C50" s="151" t="s">
        <v>15</v>
      </c>
      <c r="D50" s="151"/>
      <c r="E50" s="152">
        <v>91988.01</v>
      </c>
      <c r="F50" s="153">
        <v>1900477</v>
      </c>
      <c r="G50" s="154">
        <v>1930466.15</v>
      </c>
      <c r="H50" s="154">
        <f>E50+F50-G50</f>
        <v>61998.860000000102</v>
      </c>
      <c r="I50" s="155">
        <f>H50</f>
        <v>61998.860000000102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297658.51</v>
      </c>
      <c r="F51" s="159">
        <f>F47+F48+F49+F50</f>
        <v>2658966</v>
      </c>
      <c r="G51" s="159">
        <f>G47+G48+G49+G50</f>
        <v>2672303.17</v>
      </c>
      <c r="H51" s="159">
        <f>H47+H48+H49+H50</f>
        <v>284321.34000000008</v>
      </c>
      <c r="I51" s="160">
        <f>I47+I48+I49+I50</f>
        <v>344809.82000000012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6"/>
  <dimension ref="A1:J57"/>
  <sheetViews>
    <sheetView topLeftCell="A19" zoomScale="110" zoomScaleNormal="110" workbookViewId="0">
      <selection activeCell="I50" sqref="I5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9" width="14.710937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10" ht="19.5" x14ac:dyDescent="0.4">
      <c r="A1" s="69" t="s">
        <v>26</v>
      </c>
      <c r="B1" s="70"/>
      <c r="C1" s="70"/>
      <c r="D1" s="70"/>
    </row>
    <row r="2" spans="1:10" ht="19.5" x14ac:dyDescent="0.4">
      <c r="A2" s="387" t="s">
        <v>114</v>
      </c>
      <c r="B2" s="387"/>
      <c r="C2" s="387"/>
      <c r="D2" s="387"/>
      <c r="E2" s="403" t="s">
        <v>238</v>
      </c>
      <c r="F2" s="403"/>
      <c r="G2" s="403"/>
      <c r="H2" s="403"/>
      <c r="I2" s="403"/>
      <c r="J2" s="74"/>
    </row>
    <row r="3" spans="1:10" ht="18.75" customHeight="1" x14ac:dyDescent="0.4">
      <c r="A3" s="73"/>
      <c r="B3" s="73"/>
      <c r="C3" s="73"/>
      <c r="D3" s="73"/>
      <c r="E3" s="413" t="s">
        <v>140</v>
      </c>
      <c r="F3" s="413"/>
      <c r="G3" s="413"/>
      <c r="H3" s="413"/>
      <c r="I3" s="413"/>
    </row>
    <row r="4" spans="1:10" ht="9.75" customHeight="1" x14ac:dyDescent="0.4">
      <c r="A4" s="73"/>
      <c r="B4" s="73"/>
      <c r="C4" s="73"/>
      <c r="D4" s="73"/>
      <c r="E4" s="390" t="s">
        <v>115</v>
      </c>
      <c r="F4" s="390"/>
      <c r="G4" s="390"/>
      <c r="H4" s="390"/>
      <c r="I4" s="390"/>
    </row>
    <row r="5" spans="1:10" ht="15.75" x14ac:dyDescent="0.25">
      <c r="A5" s="75" t="s">
        <v>27</v>
      </c>
      <c r="E5" s="400" t="s">
        <v>183</v>
      </c>
      <c r="F5" s="400"/>
      <c r="G5" s="400"/>
      <c r="H5" s="400"/>
      <c r="I5" s="400"/>
    </row>
    <row r="6" spans="1:10" ht="9.75" customHeight="1" x14ac:dyDescent="0.25">
      <c r="A6" s="75"/>
      <c r="E6" s="390" t="s">
        <v>115</v>
      </c>
      <c r="F6" s="390"/>
      <c r="G6" s="390"/>
      <c r="H6" s="390"/>
      <c r="I6" s="390"/>
    </row>
    <row r="7" spans="1:10" ht="19.5" x14ac:dyDescent="0.4">
      <c r="A7" s="76" t="s">
        <v>24</v>
      </c>
      <c r="E7" s="77" t="s">
        <v>184</v>
      </c>
      <c r="F7" s="78"/>
      <c r="G7" s="79" t="s">
        <v>40</v>
      </c>
      <c r="H7" s="80">
        <v>1124</v>
      </c>
    </row>
    <row r="8" spans="1:10" ht="8.25" customHeight="1" x14ac:dyDescent="0.4">
      <c r="A8" s="76"/>
      <c r="E8" s="390" t="s">
        <v>116</v>
      </c>
      <c r="F8" s="390"/>
      <c r="G8" s="390"/>
      <c r="H8" s="390"/>
      <c r="I8" s="390"/>
    </row>
    <row r="9" spans="1:10" ht="3.75" customHeight="1" x14ac:dyDescent="0.4">
      <c r="A9" s="76"/>
      <c r="E9" s="81"/>
      <c r="F9" s="81"/>
      <c r="G9" s="81"/>
      <c r="H9" s="79"/>
      <c r="I9" s="81"/>
    </row>
    <row r="10" spans="1:10" ht="36" customHeight="1" x14ac:dyDescent="0.2">
      <c r="F10" s="82"/>
      <c r="G10" s="300"/>
    </row>
    <row r="11" spans="1:10" ht="18.75" x14ac:dyDescent="0.4">
      <c r="A11" s="83"/>
      <c r="B11" s="84"/>
      <c r="C11" s="84"/>
      <c r="D11" s="84"/>
      <c r="E11" s="85" t="s">
        <v>19</v>
      </c>
      <c r="F11" s="85" t="s">
        <v>22</v>
      </c>
      <c r="G11" s="86" t="s">
        <v>0</v>
      </c>
      <c r="H11" s="87" t="s">
        <v>17</v>
      </c>
      <c r="I11" s="87"/>
    </row>
    <row r="12" spans="1:10" ht="18.75" x14ac:dyDescent="0.4">
      <c r="A12" s="88"/>
      <c r="B12" s="88"/>
      <c r="C12" s="88"/>
      <c r="D12" s="88"/>
      <c r="E12" s="85" t="s">
        <v>20</v>
      </c>
      <c r="F12" s="85" t="s">
        <v>20</v>
      </c>
      <c r="G12" s="86" t="s">
        <v>18</v>
      </c>
      <c r="H12" s="89" t="s">
        <v>1</v>
      </c>
      <c r="I12" s="90" t="s">
        <v>16</v>
      </c>
    </row>
    <row r="13" spans="1:10" ht="15" x14ac:dyDescent="0.2">
      <c r="A13" s="88"/>
      <c r="B13" s="88"/>
      <c r="C13" s="88"/>
      <c r="D13" s="88"/>
      <c r="E13" s="85" t="s">
        <v>2</v>
      </c>
      <c r="F13" s="85" t="s">
        <v>2</v>
      </c>
      <c r="G13" s="91"/>
      <c r="H13" s="393" t="s">
        <v>28</v>
      </c>
      <c r="I13" s="394"/>
    </row>
    <row r="14" spans="1:10" ht="15" x14ac:dyDescent="0.2">
      <c r="A14" s="88"/>
      <c r="B14" s="88"/>
      <c r="C14" s="88"/>
      <c r="D14" s="88"/>
      <c r="E14" s="85"/>
      <c r="F14" s="85"/>
      <c r="G14" s="91"/>
      <c r="H14" s="31"/>
      <c r="I14" s="92"/>
    </row>
    <row r="15" spans="1:10" ht="18.75" x14ac:dyDescent="0.4">
      <c r="A15" s="93" t="s">
        <v>21</v>
      </c>
      <c r="B15" s="93"/>
      <c r="C15" s="94"/>
      <c r="D15" s="95"/>
      <c r="E15" s="96"/>
      <c r="F15" s="96"/>
      <c r="G15" s="97"/>
      <c r="H15" s="88"/>
      <c r="I15" s="88"/>
    </row>
    <row r="16" spans="1:10" ht="19.5" x14ac:dyDescent="0.4">
      <c r="A16" s="98" t="s">
        <v>3</v>
      </c>
      <c r="B16" s="93"/>
      <c r="C16" s="94"/>
      <c r="D16" s="95"/>
      <c r="E16" s="32">
        <v>4332</v>
      </c>
      <c r="F16" s="33">
        <v>4278</v>
      </c>
      <c r="G16" s="32">
        <f>H16+I16</f>
        <v>4295</v>
      </c>
      <c r="H16" s="34">
        <v>4094</v>
      </c>
      <c r="I16" s="34">
        <v>201</v>
      </c>
    </row>
    <row r="17" spans="1:9" ht="16.5" x14ac:dyDescent="0.35">
      <c r="A17" s="2"/>
      <c r="B17" s="84"/>
      <c r="C17" s="84"/>
      <c r="D17" s="84"/>
      <c r="E17" s="99"/>
      <c r="F17" s="99"/>
      <c r="G17" s="99"/>
      <c r="H17" s="99"/>
      <c r="I17" s="99"/>
    </row>
    <row r="18" spans="1:9" ht="19.5" x14ac:dyDescent="0.4">
      <c r="A18" s="98" t="s">
        <v>4</v>
      </c>
      <c r="B18" s="3"/>
      <c r="C18" s="3"/>
      <c r="D18" s="3"/>
      <c r="E18" s="32">
        <v>4332</v>
      </c>
      <c r="F18" s="33">
        <v>4306</v>
      </c>
      <c r="G18" s="32">
        <f>H18+I18</f>
        <v>4295</v>
      </c>
      <c r="H18" s="34">
        <v>3974</v>
      </c>
      <c r="I18" s="34">
        <v>321</v>
      </c>
    </row>
    <row r="19" spans="1:9" ht="18" x14ac:dyDescent="0.35">
      <c r="A19" s="2"/>
      <c r="B19" s="3"/>
      <c r="C19" s="3"/>
      <c r="D19" s="3"/>
      <c r="E19" s="32"/>
      <c r="F19" s="33"/>
      <c r="G19" s="32"/>
      <c r="H19" s="34"/>
      <c r="I19" s="34"/>
    </row>
    <row r="20" spans="1:9" ht="18" x14ac:dyDescent="0.35">
      <c r="A20" s="2"/>
      <c r="B20" s="3"/>
      <c r="C20" s="3"/>
      <c r="D20" s="3"/>
      <c r="E20" s="100"/>
      <c r="F20" s="100"/>
      <c r="G20" s="101"/>
      <c r="H20" s="1"/>
      <c r="I20" s="1"/>
    </row>
    <row r="21" spans="1:9" ht="19.5" x14ac:dyDescent="0.4">
      <c r="A21" s="102" t="s">
        <v>14</v>
      </c>
      <c r="B21" s="100"/>
      <c r="C21" s="100"/>
      <c r="D21" s="100"/>
      <c r="E21" s="100"/>
      <c r="F21" s="100"/>
      <c r="G21" s="103"/>
      <c r="H21" s="101"/>
      <c r="I21" s="101"/>
    </row>
    <row r="22" spans="1:9" ht="18" x14ac:dyDescent="0.35">
      <c r="A22" s="100"/>
      <c r="B22" s="100"/>
      <c r="C22" s="104" t="s">
        <v>117</v>
      </c>
      <c r="D22" s="100"/>
      <c r="E22" s="100"/>
      <c r="F22" s="100"/>
      <c r="G22" s="35">
        <f>H22+I22</f>
        <v>0</v>
      </c>
      <c r="H22" s="36">
        <v>0</v>
      </c>
      <c r="I22" s="36">
        <v>0</v>
      </c>
    </row>
    <row r="23" spans="1:9" ht="18" x14ac:dyDescent="0.35">
      <c r="A23" s="100"/>
      <c r="B23" s="100"/>
      <c r="C23" s="104"/>
      <c r="D23" s="100"/>
      <c r="E23" s="100"/>
      <c r="F23" s="100"/>
      <c r="G23" s="35"/>
      <c r="H23" s="36"/>
      <c r="I23" s="36"/>
    </row>
    <row r="24" spans="1:9" ht="22.5" x14ac:dyDescent="0.45">
      <c r="A24" s="105" t="s">
        <v>118</v>
      </c>
      <c r="B24" s="105"/>
      <c r="C24" s="106"/>
      <c r="D24" s="105"/>
      <c r="E24" s="105"/>
      <c r="F24" s="105"/>
      <c r="G24" s="107">
        <f>G18-G16-G22</f>
        <v>0</v>
      </c>
      <c r="H24" s="107">
        <f>H18-H16-H22</f>
        <v>-120</v>
      </c>
      <c r="I24" s="107">
        <f>I18-I16-I22</f>
        <v>120</v>
      </c>
    </row>
    <row r="26" spans="1:9" x14ac:dyDescent="0.2">
      <c r="H26" s="108"/>
    </row>
    <row r="28" spans="1:9" ht="19.5" x14ac:dyDescent="0.4">
      <c r="A28" s="93" t="s">
        <v>5</v>
      </c>
      <c r="B28" s="93" t="s">
        <v>119</v>
      </c>
      <c r="C28" s="93"/>
      <c r="D28" s="3"/>
      <c r="E28" s="3"/>
      <c r="F28" s="88"/>
      <c r="G28" s="109">
        <f>SUM(G29:G31)</f>
        <v>0</v>
      </c>
      <c r="H28" s="110" t="s">
        <v>120</v>
      </c>
      <c r="I28" s="111"/>
    </row>
    <row r="29" spans="1:9" ht="18.75" x14ac:dyDescent="0.4">
      <c r="A29" s="112"/>
      <c r="B29" s="112"/>
      <c r="C29" s="113" t="s">
        <v>29</v>
      </c>
      <c r="D29" s="114"/>
      <c r="E29" s="115"/>
      <c r="F29" s="108" t="s">
        <v>6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/>
      <c r="D30" s="114"/>
      <c r="E30" s="115"/>
      <c r="F30" s="108" t="s">
        <v>7</v>
      </c>
      <c r="G30" s="36">
        <v>0</v>
      </c>
      <c r="H30" s="110" t="s">
        <v>120</v>
      </c>
      <c r="I30" s="111"/>
    </row>
    <row r="31" spans="1:9" ht="18.75" x14ac:dyDescent="0.4">
      <c r="A31" s="112"/>
      <c r="B31" s="112"/>
      <c r="C31" s="113" t="s">
        <v>30</v>
      </c>
      <c r="D31" s="114"/>
      <c r="E31" s="115"/>
      <c r="F31" s="108" t="s">
        <v>239</v>
      </c>
      <c r="G31" s="116">
        <v>0</v>
      </c>
      <c r="H31" s="117" t="s">
        <v>120</v>
      </c>
      <c r="I31" s="111"/>
    </row>
    <row r="32" spans="1:9" ht="18.75" x14ac:dyDescent="0.4">
      <c r="A32" s="112"/>
      <c r="B32" s="112"/>
      <c r="C32" s="113"/>
      <c r="D32" s="114"/>
      <c r="E32" s="115"/>
      <c r="F32" s="108"/>
      <c r="G32" s="116"/>
      <c r="H32" s="117"/>
      <c r="I32" s="111"/>
    </row>
    <row r="33" spans="1:10" s="202" customFormat="1" x14ac:dyDescent="0.2">
      <c r="A33" s="198"/>
      <c r="B33" s="198"/>
      <c r="C33" s="198"/>
      <c r="D33" s="198"/>
      <c r="E33" s="198"/>
      <c r="F33" s="198"/>
      <c r="G33" s="199"/>
      <c r="H33" s="200"/>
      <c r="I33" s="201"/>
    </row>
    <row r="34" spans="1:10" ht="18.75" x14ac:dyDescent="0.4">
      <c r="A34" s="398"/>
      <c r="B34" s="399"/>
      <c r="C34" s="399"/>
      <c r="D34" s="399"/>
      <c r="E34" s="399"/>
      <c r="F34" s="399"/>
      <c r="G34" s="399"/>
      <c r="H34" s="399"/>
      <c r="I34" s="399"/>
    </row>
    <row r="35" spans="1:10" ht="19.5" x14ac:dyDescent="0.4">
      <c r="A35" s="93" t="s">
        <v>31</v>
      </c>
      <c r="B35" s="93" t="s">
        <v>32</v>
      </c>
      <c r="C35" s="93"/>
      <c r="D35" s="119"/>
      <c r="E35" s="97"/>
      <c r="F35" s="3"/>
      <c r="G35" s="120"/>
      <c r="H35" s="111"/>
      <c r="I35" s="111"/>
    </row>
    <row r="36" spans="1:10" ht="18.75" x14ac:dyDescent="0.4">
      <c r="A36" s="93"/>
      <c r="B36" s="93"/>
      <c r="C36" s="93"/>
      <c r="D36" s="119"/>
      <c r="F36" s="121" t="s">
        <v>121</v>
      </c>
      <c r="G36" s="122" t="s">
        <v>0</v>
      </c>
      <c r="H36" s="88"/>
      <c r="I36" s="123" t="s">
        <v>122</v>
      </c>
    </row>
    <row r="37" spans="1:10" ht="16.5" x14ac:dyDescent="0.35">
      <c r="A37" s="124" t="s">
        <v>33</v>
      </c>
      <c r="B37" s="125"/>
      <c r="C37" s="2"/>
      <c r="D37" s="125"/>
      <c r="E37" s="97"/>
      <c r="F37" s="126">
        <v>2840</v>
      </c>
      <c r="G37" s="126">
        <v>2640</v>
      </c>
      <c r="H37" s="110" t="s">
        <v>39</v>
      </c>
      <c r="I37" s="127">
        <f>G37/F37</f>
        <v>0.92957746478873238</v>
      </c>
    </row>
    <row r="38" spans="1:10" ht="16.5" x14ac:dyDescent="0.35">
      <c r="A38" s="124" t="s">
        <v>123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27">
        <v>0</v>
      </c>
    </row>
    <row r="39" spans="1:10" ht="16.5" x14ac:dyDescent="0.35">
      <c r="A39" s="124" t="s">
        <v>124</v>
      </c>
      <c r="B39" s="125"/>
      <c r="C39" s="2"/>
      <c r="D39" s="128"/>
      <c r="E39" s="128"/>
      <c r="F39" s="126">
        <v>0</v>
      </c>
      <c r="G39" s="126">
        <v>0</v>
      </c>
      <c r="H39" s="110" t="s">
        <v>39</v>
      </c>
      <c r="I39" s="130" t="s">
        <v>241</v>
      </c>
    </row>
    <row r="40" spans="1:10" ht="16.5" x14ac:dyDescent="0.35">
      <c r="A40" s="124" t="s">
        <v>236</v>
      </c>
      <c r="B40" s="125"/>
      <c r="C40" s="2"/>
      <c r="D40" s="97"/>
      <c r="E40" s="97"/>
      <c r="F40" s="126">
        <v>0</v>
      </c>
      <c r="G40" s="126">
        <v>0</v>
      </c>
      <c r="H40" s="110" t="s">
        <v>39</v>
      </c>
      <c r="I40" s="127">
        <v>0</v>
      </c>
    </row>
    <row r="41" spans="1:10" ht="18" x14ac:dyDescent="0.35">
      <c r="A41" s="124" t="s">
        <v>237</v>
      </c>
      <c r="B41" s="131"/>
      <c r="C41" s="131"/>
      <c r="D41" s="97"/>
      <c r="E41" s="97"/>
      <c r="F41" s="132">
        <v>0</v>
      </c>
      <c r="G41" s="126">
        <v>0</v>
      </c>
      <c r="H41" s="110" t="s">
        <v>39</v>
      </c>
      <c r="I41" s="130" t="s">
        <v>241</v>
      </c>
    </row>
    <row r="42" spans="1:10" ht="18" x14ac:dyDescent="0.35">
      <c r="A42" s="124"/>
      <c r="B42" s="176"/>
      <c r="C42" s="176"/>
      <c r="D42" s="177"/>
      <c r="E42" s="177"/>
      <c r="F42" s="178"/>
      <c r="G42" s="179"/>
      <c r="H42" s="110"/>
      <c r="I42" s="180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43300</v>
      </c>
      <c r="F48" s="147">
        <v>30000</v>
      </c>
      <c r="G48" s="148">
        <v>60100</v>
      </c>
      <c r="H48" s="148">
        <f>E48+F48-G48</f>
        <v>13200</v>
      </c>
      <c r="I48" s="149">
        <f>H48</f>
        <v>13200</v>
      </c>
    </row>
    <row r="49" spans="1:9" x14ac:dyDescent="0.2">
      <c r="A49" s="150"/>
      <c r="B49" s="151"/>
      <c r="C49" s="151" t="s">
        <v>8</v>
      </c>
      <c r="D49" s="151"/>
      <c r="E49" s="152">
        <v>74012.429999999993</v>
      </c>
      <c r="F49" s="153">
        <v>46002.52</v>
      </c>
      <c r="G49" s="154">
        <v>69324.899999999994</v>
      </c>
      <c r="H49" s="154">
        <f>E49+F49-G49</f>
        <v>50690.049999999988</v>
      </c>
      <c r="I49" s="155">
        <v>42360.95</v>
      </c>
    </row>
    <row r="50" spans="1:9" x14ac:dyDescent="0.2">
      <c r="A50" s="150"/>
      <c r="B50" s="151"/>
      <c r="C50" s="151" t="s">
        <v>7</v>
      </c>
      <c r="D50" s="151"/>
      <c r="E50" s="152">
        <v>323617.57</v>
      </c>
      <c r="F50" s="153">
        <v>172472.79</v>
      </c>
      <c r="G50" s="154">
        <v>146600.31</v>
      </c>
      <c r="H50" s="154">
        <f>E50+F50-G50</f>
        <v>349490.05</v>
      </c>
      <c r="I50" s="155">
        <f>H50</f>
        <v>349490.05</v>
      </c>
    </row>
    <row r="51" spans="1:9" x14ac:dyDescent="0.2">
      <c r="A51" s="150"/>
      <c r="B51" s="151"/>
      <c r="C51" s="151" t="s">
        <v>15</v>
      </c>
      <c r="D51" s="151"/>
      <c r="E51" s="152">
        <v>7343</v>
      </c>
      <c r="F51" s="153">
        <v>0</v>
      </c>
      <c r="G51" s="154">
        <v>0</v>
      </c>
      <c r="H51" s="154">
        <f>E51+F51-G51</f>
        <v>7343</v>
      </c>
      <c r="I51" s="155">
        <f>H51</f>
        <v>7343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448273</v>
      </c>
      <c r="F52" s="159">
        <f>F48+F49+F50+F51</f>
        <v>248475.31</v>
      </c>
      <c r="G52" s="159">
        <f>G48+G49+G50+G51</f>
        <v>276025.20999999996</v>
      </c>
      <c r="H52" s="159">
        <f>H48+H49+H50+H51</f>
        <v>420723.1</v>
      </c>
      <c r="I52" s="160">
        <f>I48+I49+I50+I51</f>
        <v>412394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F45:F46"/>
    <mergeCell ref="E6:I6"/>
    <mergeCell ref="E8:I8"/>
    <mergeCell ref="H13:I13"/>
    <mergeCell ref="A34:I34"/>
    <mergeCell ref="H43:I43"/>
    <mergeCell ref="A2:D2"/>
    <mergeCell ref="E3:I3"/>
    <mergeCell ref="E5:I5"/>
    <mergeCell ref="E2:I2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7"/>
  <dimension ref="A1:J56"/>
  <sheetViews>
    <sheetView topLeftCell="A16" zoomScale="110" zoomScaleNormal="110" workbookViewId="0">
      <selection activeCell="G28" sqref="G28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137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287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185</v>
      </c>
      <c r="F6" s="78"/>
      <c r="G6" s="79" t="s">
        <v>40</v>
      </c>
      <c r="H6" s="80">
        <v>1150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4.5" customHeight="1" x14ac:dyDescent="0.4">
      <c r="A8" s="76"/>
      <c r="E8" s="81"/>
      <c r="F8" s="81"/>
      <c r="G8" s="81"/>
      <c r="H8" s="79"/>
      <c r="I8" s="81"/>
    </row>
    <row r="9" spans="1:9" ht="38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4309</v>
      </c>
      <c r="F15" s="33">
        <v>28610</v>
      </c>
      <c r="G15" s="32">
        <f>H15+I15</f>
        <v>28610</v>
      </c>
      <c r="H15" s="34">
        <v>28338</v>
      </c>
      <c r="I15" s="34">
        <v>272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4309</v>
      </c>
      <c r="F17" s="33">
        <v>28369</v>
      </c>
      <c r="G17" s="32">
        <f>H17+I17</f>
        <v>28632</v>
      </c>
      <c r="H17" s="34">
        <v>28242</v>
      </c>
      <c r="I17" s="34">
        <v>390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22</v>
      </c>
      <c r="H23" s="107">
        <f>H17-H15-H21</f>
        <v>-96</v>
      </c>
      <c r="I23" s="107">
        <f>I17-I15-I21</f>
        <v>118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21883.05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5000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16883.05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450</v>
      </c>
      <c r="G37" s="126">
        <v>442.26650000000001</v>
      </c>
      <c r="H37" s="110" t="s">
        <v>39</v>
      </c>
      <c r="I37" s="127">
        <f>G37/F37</f>
        <v>0.98281444444444443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337</v>
      </c>
      <c r="G39" s="126">
        <v>337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ht="18" x14ac:dyDescent="0.35">
      <c r="A41" s="124"/>
      <c r="B41" s="176"/>
      <c r="C41" s="176"/>
      <c r="D41" s="177"/>
      <c r="E41" s="177"/>
      <c r="F41" s="178"/>
      <c r="G41" s="179"/>
      <c r="H41" s="110"/>
      <c r="I41" s="180"/>
      <c r="J41" s="74"/>
    </row>
    <row r="42" spans="1:10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10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10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10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10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10" ht="13.5" thickTop="1" x14ac:dyDescent="0.2">
      <c r="A47" s="144"/>
      <c r="B47" s="145"/>
      <c r="C47" s="145" t="s">
        <v>6</v>
      </c>
      <c r="D47" s="145"/>
      <c r="E47" s="146">
        <v>0</v>
      </c>
      <c r="F47" s="147">
        <v>5000</v>
      </c>
      <c r="G47" s="148">
        <v>5000</v>
      </c>
      <c r="H47" s="148">
        <f>E47+F47-G47</f>
        <v>0</v>
      </c>
      <c r="I47" s="149">
        <v>0</v>
      </c>
    </row>
    <row r="48" spans="1:10" x14ac:dyDescent="0.2">
      <c r="A48" s="150"/>
      <c r="B48" s="151"/>
      <c r="C48" s="151" t="s">
        <v>8</v>
      </c>
      <c r="D48" s="151"/>
      <c r="E48" s="152">
        <v>146129.13</v>
      </c>
      <c r="F48" s="153">
        <v>322410</v>
      </c>
      <c r="G48" s="154">
        <v>350938</v>
      </c>
      <c r="H48" s="154">
        <f>E48+F48-G48</f>
        <v>117601.13</v>
      </c>
      <c r="I48" s="155">
        <v>154527.75</v>
      </c>
    </row>
    <row r="49" spans="1:9" x14ac:dyDescent="0.2">
      <c r="A49" s="150"/>
      <c r="B49" s="151"/>
      <c r="C49" s="151" t="s">
        <v>7</v>
      </c>
      <c r="D49" s="151"/>
      <c r="E49" s="152">
        <v>274038.40000000002</v>
      </c>
      <c r="F49" s="153">
        <f>28857.92+27500.71+69000</f>
        <v>125358.63</v>
      </c>
      <c r="G49" s="173">
        <f>56358.63+263795.4</f>
        <v>320154.03000000003</v>
      </c>
      <c r="H49" s="154">
        <f>E49+F49-G49</f>
        <v>79243</v>
      </c>
      <c r="I49" s="155">
        <f>H49</f>
        <v>79243</v>
      </c>
    </row>
    <row r="50" spans="1:9" x14ac:dyDescent="0.2">
      <c r="A50" s="150"/>
      <c r="B50" s="151"/>
      <c r="C50" s="151" t="s">
        <v>15</v>
      </c>
      <c r="D50" s="151"/>
      <c r="E50" s="152">
        <v>81075.789999999994</v>
      </c>
      <c r="F50" s="153">
        <v>487291.5</v>
      </c>
      <c r="G50" s="154">
        <v>486999</v>
      </c>
      <c r="H50" s="154">
        <f>E50+F50-G50</f>
        <v>81368.290000000037</v>
      </c>
      <c r="I50" s="155">
        <f>H50</f>
        <v>81368.290000000037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501243.32</v>
      </c>
      <c r="F51" s="159">
        <f>F47+F48+F49+F50</f>
        <v>940060.13</v>
      </c>
      <c r="G51" s="159">
        <f>G47+G48+G49+G50</f>
        <v>1163091.03</v>
      </c>
      <c r="H51" s="159">
        <f>H47+H48+H49+H50</f>
        <v>278212.42000000004</v>
      </c>
      <c r="I51" s="160">
        <f>I47+I48+I49+I50</f>
        <v>315139.04000000004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74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8"/>
  <dimension ref="A1:I56"/>
  <sheetViews>
    <sheetView topLeftCell="A13" zoomScale="110" zoomScaleNormal="110" workbookViewId="0">
      <selection activeCell="F17" sqref="F17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186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183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187</v>
      </c>
      <c r="F6" s="78"/>
      <c r="G6" s="79" t="s">
        <v>40</v>
      </c>
      <c r="H6" s="80">
        <v>1160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8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14754</v>
      </c>
      <c r="F15" s="33">
        <v>58935</v>
      </c>
      <c r="G15" s="32">
        <f>H15+I15</f>
        <v>59389</v>
      </c>
      <c r="H15" s="34">
        <v>56141</v>
      </c>
      <c r="I15" s="34">
        <v>3248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14754</v>
      </c>
      <c r="F17" s="33">
        <v>59522</v>
      </c>
      <c r="G17" s="32">
        <f>H17+I17</f>
        <v>59527</v>
      </c>
      <c r="H17" s="34">
        <v>55899</v>
      </c>
      <c r="I17" s="34">
        <v>3628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138</v>
      </c>
      <c r="H23" s="107">
        <f>H17-H15-H21</f>
        <v>-242</v>
      </c>
      <c r="I23" s="107">
        <f>I17-I15-I21</f>
        <v>380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139152.82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139152.82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9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9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9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9" ht="16.5" x14ac:dyDescent="0.35">
      <c r="A36" s="124" t="s">
        <v>33</v>
      </c>
      <c r="B36" s="125"/>
      <c r="C36" s="2"/>
      <c r="D36" s="125"/>
      <c r="E36" s="97"/>
      <c r="F36" s="126">
        <v>1283.98</v>
      </c>
      <c r="G36" s="126">
        <v>1261</v>
      </c>
      <c r="H36" s="110" t="s">
        <v>39</v>
      </c>
      <c r="I36" s="127">
        <f>G36/F36</f>
        <v>0.98210252496144801</v>
      </c>
    </row>
    <row r="37" spans="1:9" ht="16.5" x14ac:dyDescent="0.35">
      <c r="A37" s="124" t="s">
        <v>123</v>
      </c>
      <c r="B37" s="125"/>
      <c r="C37" s="2"/>
      <c r="D37" s="128"/>
      <c r="E37" s="128"/>
      <c r="F37" s="126">
        <v>1295.43</v>
      </c>
      <c r="G37" s="126">
        <v>1295.43</v>
      </c>
      <c r="H37" s="110" t="s">
        <v>39</v>
      </c>
      <c r="I37" s="127">
        <f>G37/F37</f>
        <v>1</v>
      </c>
    </row>
    <row r="38" spans="1:9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9" ht="16.5" x14ac:dyDescent="0.35">
      <c r="A39" s="124" t="s">
        <v>236</v>
      </c>
      <c r="B39" s="125"/>
      <c r="C39" s="2"/>
      <c r="D39" s="97"/>
      <c r="E39" s="97"/>
      <c r="F39" s="126">
        <v>972</v>
      </c>
      <c r="G39" s="126">
        <v>972</v>
      </c>
      <c r="H39" s="110" t="s">
        <v>39</v>
      </c>
      <c r="I39" s="127">
        <f>G39/F39</f>
        <v>1</v>
      </c>
    </row>
    <row r="40" spans="1:9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9" ht="18" x14ac:dyDescent="0.35">
      <c r="A41" s="124"/>
      <c r="B41" s="131"/>
      <c r="C41" s="131"/>
      <c r="D41" s="97"/>
      <c r="E41" s="97"/>
      <c r="F41" s="132"/>
      <c r="G41" s="126"/>
      <c r="H41" s="110"/>
      <c r="I41" s="127"/>
    </row>
    <row r="42" spans="1:9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9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9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9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9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9" ht="13.5" thickTop="1" x14ac:dyDescent="0.2">
      <c r="A47" s="144"/>
      <c r="B47" s="145"/>
      <c r="C47" s="145" t="s">
        <v>6</v>
      </c>
      <c r="D47" s="145"/>
      <c r="E47" s="146">
        <v>218971</v>
      </c>
      <c r="F47" s="147">
        <v>0</v>
      </c>
      <c r="G47" s="148">
        <v>19100</v>
      </c>
      <c r="H47" s="148">
        <f>E47+F47-G47</f>
        <v>199871</v>
      </c>
      <c r="I47" s="149">
        <f>H47</f>
        <v>199871</v>
      </c>
    </row>
    <row r="48" spans="1:9" x14ac:dyDescent="0.2">
      <c r="A48" s="150"/>
      <c r="B48" s="151"/>
      <c r="C48" s="151" t="s">
        <v>8</v>
      </c>
      <c r="D48" s="151"/>
      <c r="E48" s="152">
        <v>241942.67</v>
      </c>
      <c r="F48" s="153">
        <v>594123.31999999995</v>
      </c>
      <c r="G48" s="154">
        <v>635059.51</v>
      </c>
      <c r="H48" s="154">
        <f>E48+F48-G48</f>
        <v>201006.47999999998</v>
      </c>
      <c r="I48" s="155">
        <v>219744.42</v>
      </c>
    </row>
    <row r="49" spans="1:9" x14ac:dyDescent="0.2">
      <c r="A49" s="150"/>
      <c r="B49" s="151"/>
      <c r="C49" s="151" t="s">
        <v>7</v>
      </c>
      <c r="D49" s="151"/>
      <c r="E49" s="152">
        <f>405578.53+104878.61</f>
        <v>510457.14</v>
      </c>
      <c r="F49" s="153">
        <f>14967.65+847783.72</f>
        <v>862751.37</v>
      </c>
      <c r="G49" s="154">
        <f>300000+109695.61</f>
        <v>409695.61</v>
      </c>
      <c r="H49" s="154">
        <f>E49+F49-G49</f>
        <v>963512.9</v>
      </c>
      <c r="I49" s="155">
        <f>H49</f>
        <v>963512.9</v>
      </c>
    </row>
    <row r="50" spans="1:9" x14ac:dyDescent="0.2">
      <c r="A50" s="150"/>
      <c r="B50" s="151"/>
      <c r="C50" s="151" t="s">
        <v>15</v>
      </c>
      <c r="D50" s="151"/>
      <c r="E50" s="152">
        <v>56253</v>
      </c>
      <c r="F50" s="153">
        <v>1639415</v>
      </c>
      <c r="G50" s="154">
        <v>1475884</v>
      </c>
      <c r="H50" s="154">
        <f>E50+F50-G50</f>
        <v>219784</v>
      </c>
      <c r="I50" s="155">
        <f>H50</f>
        <v>219784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1027623.81</v>
      </c>
      <c r="F51" s="159">
        <f>F47+F48+F49+F50</f>
        <v>3096289.69</v>
      </c>
      <c r="G51" s="159">
        <f>G47+G48+G49+G50</f>
        <v>2539739.12</v>
      </c>
      <c r="H51" s="159">
        <f>H47+H48+H49+H50</f>
        <v>1584174.38</v>
      </c>
      <c r="I51" s="160">
        <f>I47+I48+I49+I50</f>
        <v>1602912.32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2:D2"/>
    <mergeCell ref="E2:I2"/>
    <mergeCell ref="E3:I3"/>
    <mergeCell ref="E4:I4"/>
    <mergeCell ref="F44:F45"/>
    <mergeCell ref="E5:I5"/>
    <mergeCell ref="E7:I7"/>
    <mergeCell ref="H12:I12"/>
    <mergeCell ref="A31:I3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9"/>
  <dimension ref="A1:J57"/>
  <sheetViews>
    <sheetView topLeftCell="A17" zoomScale="110" zoomScaleNormal="110" workbookViewId="0">
      <selection activeCell="J39" sqref="J39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" style="71" customWidth="1"/>
    <col min="10" max="10" width="18.85546875" style="72" customWidth="1"/>
    <col min="11" max="11" width="16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188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189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190</v>
      </c>
      <c r="F6" s="78"/>
      <c r="G6" s="79" t="s">
        <v>40</v>
      </c>
      <c r="H6" s="80">
        <v>1170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5.25" customHeight="1" x14ac:dyDescent="0.4">
      <c r="A8" s="76"/>
      <c r="E8" s="81"/>
      <c r="F8" s="81"/>
      <c r="G8" s="81"/>
      <c r="H8" s="79"/>
      <c r="I8" s="81"/>
    </row>
    <row r="9" spans="1:9" ht="31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7018</v>
      </c>
      <c r="F15" s="33">
        <v>30616</v>
      </c>
      <c r="G15" s="32">
        <f>H15+I15</f>
        <v>30194</v>
      </c>
      <c r="H15" s="34">
        <v>29422</v>
      </c>
      <c r="I15" s="34">
        <v>772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7018</v>
      </c>
      <c r="F17" s="33">
        <v>30138</v>
      </c>
      <c r="G17" s="32">
        <f>H17+I17</f>
        <v>30195</v>
      </c>
      <c r="H17" s="34">
        <v>29422</v>
      </c>
      <c r="I17" s="34">
        <v>773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</v>
      </c>
      <c r="H23" s="107">
        <f>H17-H15-H21</f>
        <v>0</v>
      </c>
      <c r="I23" s="107">
        <f>I17-I15-I21</f>
        <v>1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976.16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780.93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195.23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1568.1</v>
      </c>
      <c r="G36" s="126">
        <v>1568.1</v>
      </c>
      <c r="H36" s="110" t="s">
        <v>39</v>
      </c>
      <c r="I36" s="127">
        <f>G36/F36</f>
        <v>1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521</v>
      </c>
      <c r="G37" s="126">
        <v>521.37203999999997</v>
      </c>
      <c r="H37" s="110" t="s">
        <v>39</v>
      </c>
      <c r="I37" s="127">
        <f>G37/F37</f>
        <v>1.0007140882917467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154.91999999999999</v>
      </c>
      <c r="G38" s="126">
        <v>154.91999999999999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391</v>
      </c>
      <c r="G39" s="126">
        <v>391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299</v>
      </c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63697.8</v>
      </c>
      <c r="F48" s="147">
        <v>590.20000000000005</v>
      </c>
      <c r="G48" s="148">
        <v>7000</v>
      </c>
      <c r="H48" s="148">
        <f>E48+F48-G48</f>
        <v>57288</v>
      </c>
      <c r="I48" s="149">
        <f>H48</f>
        <v>57288</v>
      </c>
    </row>
    <row r="49" spans="1:10" x14ac:dyDescent="0.2">
      <c r="A49" s="150"/>
      <c r="B49" s="151"/>
      <c r="C49" s="151" t="s">
        <v>8</v>
      </c>
      <c r="D49" s="151"/>
      <c r="E49" s="152">
        <v>164808.41</v>
      </c>
      <c r="F49" s="153">
        <v>308903</v>
      </c>
      <c r="G49" s="154">
        <v>216721</v>
      </c>
      <c r="H49" s="154">
        <f>E49+F49-G49</f>
        <v>256990.41000000003</v>
      </c>
      <c r="I49" s="155">
        <v>175015.52</v>
      </c>
    </row>
    <row r="50" spans="1:10" s="182" customFormat="1" x14ac:dyDescent="0.2">
      <c r="A50" s="191"/>
      <c r="B50" s="192"/>
      <c r="C50" s="192" t="s">
        <v>7</v>
      </c>
      <c r="D50" s="192"/>
      <c r="E50" s="193">
        <v>948827.73</v>
      </c>
      <c r="F50" s="194">
        <v>377163.46</v>
      </c>
      <c r="G50" s="173">
        <v>905555.99</v>
      </c>
      <c r="H50" s="173">
        <f>E50+F50-G50</f>
        <v>420435.19999999995</v>
      </c>
      <c r="I50" s="195">
        <f>H50</f>
        <v>420435.19999999995</v>
      </c>
      <c r="J50" s="181"/>
    </row>
    <row r="51" spans="1:10" x14ac:dyDescent="0.2">
      <c r="A51" s="150"/>
      <c r="B51" s="151"/>
      <c r="C51" s="151" t="s">
        <v>15</v>
      </c>
      <c r="D51" s="151"/>
      <c r="E51" s="152">
        <v>14956.26</v>
      </c>
      <c r="F51" s="153">
        <v>535933.12</v>
      </c>
      <c r="G51" s="154">
        <v>391000</v>
      </c>
      <c r="H51" s="154">
        <f>E51+F51-G51</f>
        <v>159889.38</v>
      </c>
      <c r="I51" s="155">
        <f>H51</f>
        <v>159889.38</v>
      </c>
    </row>
    <row r="52" spans="1:10" ht="18.75" thickBot="1" x14ac:dyDescent="0.4">
      <c r="A52" s="156" t="s">
        <v>2</v>
      </c>
      <c r="B52" s="157"/>
      <c r="C52" s="157"/>
      <c r="D52" s="157"/>
      <c r="E52" s="158">
        <f>E48+E49+E50+E51</f>
        <v>1192290.2</v>
      </c>
      <c r="F52" s="159">
        <f>F48+F49+F50+F51</f>
        <v>1222589.78</v>
      </c>
      <c r="G52" s="159">
        <f>G48+G49+G50+G51</f>
        <v>1520276.99</v>
      </c>
      <c r="H52" s="159">
        <f>H48+H49+H50+H51</f>
        <v>894602.99</v>
      </c>
      <c r="I52" s="160">
        <f>I48+I49+I50+I51</f>
        <v>812628.1</v>
      </c>
    </row>
    <row r="53" spans="1:10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10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10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10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10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0"/>
  <dimension ref="A1:J57"/>
  <sheetViews>
    <sheetView topLeftCell="A7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301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191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192</v>
      </c>
      <c r="F6" s="78"/>
      <c r="G6" s="79" t="s">
        <v>40</v>
      </c>
      <c r="H6" s="80">
        <v>1200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9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6027</v>
      </c>
      <c r="F15" s="33">
        <v>19812</v>
      </c>
      <c r="G15" s="32">
        <f>H15+I15</f>
        <v>19770</v>
      </c>
      <c r="H15" s="34">
        <v>18569</v>
      </c>
      <c r="I15" s="34">
        <v>1201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6027</v>
      </c>
      <c r="F17" s="33">
        <v>19812</v>
      </c>
      <c r="G17" s="32">
        <f>H17+I17</f>
        <v>19776</v>
      </c>
      <c r="H17" s="34">
        <v>18558</v>
      </c>
      <c r="I17" s="34">
        <v>1218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6</v>
      </c>
      <c r="H23" s="107">
        <f>H17-H15-H21</f>
        <v>-11</v>
      </c>
      <c r="I23" s="107">
        <f>I17-I15-I21</f>
        <v>17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5597.15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3700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1897.15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120</v>
      </c>
      <c r="G36" s="126">
        <v>120</v>
      </c>
      <c r="H36" s="110" t="s">
        <v>39</v>
      </c>
      <c r="I36" s="127">
        <f>G36/F36</f>
        <v>1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554</v>
      </c>
      <c r="G37" s="126">
        <v>557.04899999999998</v>
      </c>
      <c r="H37" s="110" t="s">
        <v>39</v>
      </c>
      <c r="I37" s="127">
        <f>G37/F37</f>
        <v>1.0055036101083032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416</v>
      </c>
      <c r="G39" s="126">
        <v>416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83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300</v>
      </c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0</v>
      </c>
      <c r="F48" s="147">
        <v>31000</v>
      </c>
      <c r="G48" s="148">
        <v>30700</v>
      </c>
      <c r="H48" s="148">
        <f>E48+F48-G48</f>
        <v>300</v>
      </c>
      <c r="I48" s="149">
        <f>H48</f>
        <v>300</v>
      </c>
    </row>
    <row r="49" spans="1:9" x14ac:dyDescent="0.2">
      <c r="A49" s="150"/>
      <c r="B49" s="151"/>
      <c r="C49" s="151" t="s">
        <v>8</v>
      </c>
      <c r="D49" s="151"/>
      <c r="E49" s="152">
        <v>134671.32</v>
      </c>
      <c r="F49" s="153">
        <v>176915</v>
      </c>
      <c r="G49" s="154">
        <v>198980.81</v>
      </c>
      <c r="H49" s="154">
        <f>E49+F49-G49</f>
        <v>112605.51000000001</v>
      </c>
      <c r="I49" s="155">
        <v>82781.240000000005</v>
      </c>
    </row>
    <row r="50" spans="1:9" x14ac:dyDescent="0.2">
      <c r="A50" s="150"/>
      <c r="B50" s="151"/>
      <c r="C50" s="151" t="s">
        <v>7</v>
      </c>
      <c r="D50" s="151"/>
      <c r="E50" s="152">
        <v>0</v>
      </c>
      <c r="F50" s="153">
        <f>500420.01</f>
        <v>500420.01</v>
      </c>
      <c r="G50" s="154">
        <v>500420.01</v>
      </c>
      <c r="H50" s="154">
        <f>E50+F50-G50</f>
        <v>0</v>
      </c>
      <c r="I50" s="155">
        <f>H50</f>
        <v>0</v>
      </c>
    </row>
    <row r="51" spans="1:9" x14ac:dyDescent="0.2">
      <c r="A51" s="150"/>
      <c r="B51" s="151"/>
      <c r="C51" s="151" t="s">
        <v>15</v>
      </c>
      <c r="D51" s="151"/>
      <c r="E51" s="152">
        <v>253534.16</v>
      </c>
      <c r="F51" s="153">
        <v>559509</v>
      </c>
      <c r="G51" s="154">
        <v>416000</v>
      </c>
      <c r="H51" s="154">
        <f>E51+F51-G51</f>
        <v>397043.16000000003</v>
      </c>
      <c r="I51" s="155">
        <f>H51</f>
        <v>397043.16000000003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388205.48</v>
      </c>
      <c r="F52" s="159">
        <f>F48+F49+F50+F51</f>
        <v>1267844.01</v>
      </c>
      <c r="G52" s="159">
        <f>G48+G49+G50+G51</f>
        <v>1146100.82</v>
      </c>
      <c r="H52" s="159">
        <f>H48+H49+H50+H51</f>
        <v>509948.67000000004</v>
      </c>
      <c r="I52" s="160">
        <f>I48+I49+I50+I51</f>
        <v>480124.4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J58"/>
  <sheetViews>
    <sheetView topLeftCell="A16" zoomScale="110" zoomScaleNormal="110" workbookViewId="0">
      <selection activeCell="J37" sqref="J37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138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193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194</v>
      </c>
      <c r="F6" s="78"/>
      <c r="G6" s="79" t="s">
        <v>40</v>
      </c>
      <c r="H6" s="80">
        <v>1201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7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7940</v>
      </c>
      <c r="F15" s="33">
        <v>28641</v>
      </c>
      <c r="G15" s="32">
        <f>H15+I15</f>
        <v>28641</v>
      </c>
      <c r="H15" s="34">
        <v>28054</v>
      </c>
      <c r="I15" s="34">
        <v>587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7940</v>
      </c>
      <c r="F17" s="33">
        <v>29023</v>
      </c>
      <c r="G17" s="32">
        <f>H17+I17</f>
        <v>28646</v>
      </c>
      <c r="H17" s="34">
        <v>27817</v>
      </c>
      <c r="I17" s="34">
        <v>829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5</v>
      </c>
      <c r="H23" s="107">
        <f>H17-H15-H21</f>
        <v>-237</v>
      </c>
      <c r="I23" s="107">
        <f>I17-I15-I21</f>
        <v>242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4753.2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4753.2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s="172" customFormat="1" ht="16.5" x14ac:dyDescent="0.35">
      <c r="A36" s="124" t="s">
        <v>33</v>
      </c>
      <c r="B36" s="125"/>
      <c r="C36" s="2"/>
      <c r="D36" s="125"/>
      <c r="E36" s="97"/>
      <c r="F36" s="126">
        <v>19.5</v>
      </c>
      <c r="G36" s="126">
        <v>19.5</v>
      </c>
      <c r="H36" s="169" t="s">
        <v>39</v>
      </c>
      <c r="I36" s="127">
        <f>G36/F36</f>
        <v>1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2798.3629999999998</v>
      </c>
      <c r="G37" s="126">
        <v>2828.038</v>
      </c>
      <c r="H37" s="110" t="s">
        <v>39</v>
      </c>
      <c r="I37" s="127">
        <f>G37/F37</f>
        <v>1.0106044140806607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2099</v>
      </c>
      <c r="G39" s="126">
        <v>2099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315</v>
      </c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x14ac:dyDescent="0.2">
      <c r="A42" s="397" t="s">
        <v>324</v>
      </c>
      <c r="B42" s="397"/>
      <c r="C42" s="397"/>
      <c r="D42" s="397"/>
      <c r="E42" s="397"/>
      <c r="F42" s="397"/>
      <c r="G42" s="397"/>
      <c r="H42" s="397"/>
      <c r="I42" s="397"/>
      <c r="J42" s="74"/>
    </row>
    <row r="43" spans="1:10" ht="18" x14ac:dyDescent="0.35">
      <c r="A43" s="124"/>
      <c r="B43" s="131"/>
      <c r="C43" s="131"/>
      <c r="D43" s="97"/>
      <c r="E43" s="97"/>
      <c r="F43" s="132"/>
      <c r="G43" s="126"/>
      <c r="H43" s="110"/>
      <c r="I43" s="127"/>
    </row>
    <row r="44" spans="1:10" ht="19.5" thickBot="1" x14ac:dyDescent="0.45">
      <c r="A44" s="93" t="s">
        <v>11</v>
      </c>
      <c r="B44" s="93" t="s">
        <v>12</v>
      </c>
      <c r="C44" s="95"/>
      <c r="D44" s="97"/>
      <c r="E44" s="97"/>
      <c r="F44" s="134"/>
      <c r="G44" s="135"/>
      <c r="H44" s="393" t="s">
        <v>125</v>
      </c>
      <c r="I44" s="394"/>
    </row>
    <row r="45" spans="1:10" ht="18.75" thickTop="1" x14ac:dyDescent="0.35">
      <c r="A45" s="136"/>
      <c r="B45" s="137"/>
      <c r="C45" s="138"/>
      <c r="D45" s="137"/>
      <c r="E45" s="293" t="s">
        <v>291</v>
      </c>
      <c r="F45" s="294" t="s">
        <v>9</v>
      </c>
      <c r="G45" s="294" t="s">
        <v>10</v>
      </c>
      <c r="H45" s="301" t="s">
        <v>13</v>
      </c>
      <c r="I45" s="302" t="s">
        <v>126</v>
      </c>
    </row>
    <row r="46" spans="1:10" x14ac:dyDescent="0.2">
      <c r="A46" s="139"/>
      <c r="B46" s="134"/>
      <c r="C46" s="134"/>
      <c r="D46" s="134"/>
      <c r="E46" s="295"/>
      <c r="F46" s="392"/>
      <c r="G46" s="296"/>
      <c r="H46" s="303">
        <v>40543</v>
      </c>
      <c r="I46" s="304">
        <v>40543</v>
      </c>
    </row>
    <row r="47" spans="1:10" x14ac:dyDescent="0.2">
      <c r="A47" s="139"/>
      <c r="B47" s="134"/>
      <c r="C47" s="134"/>
      <c r="D47" s="134"/>
      <c r="E47" s="295"/>
      <c r="F47" s="392"/>
      <c r="G47" s="297"/>
      <c r="H47" s="297"/>
      <c r="I47" s="298"/>
    </row>
    <row r="48" spans="1:10" ht="13.5" thickBot="1" x14ac:dyDescent="0.25">
      <c r="A48" s="140"/>
      <c r="B48" s="141"/>
      <c r="C48" s="141"/>
      <c r="D48" s="141"/>
      <c r="E48" s="140"/>
      <c r="F48" s="142"/>
      <c r="G48" s="142"/>
      <c r="H48" s="142"/>
      <c r="I48" s="143"/>
    </row>
    <row r="49" spans="1:9" s="99" customFormat="1" ht="13.5" thickTop="1" x14ac:dyDescent="0.2">
      <c r="A49" s="185"/>
      <c r="B49" s="186"/>
      <c r="C49" s="186" t="s">
        <v>6</v>
      </c>
      <c r="D49" s="186"/>
      <c r="E49" s="187">
        <v>31315</v>
      </c>
      <c r="F49" s="188">
        <v>18160</v>
      </c>
      <c r="G49" s="189">
        <v>29000</v>
      </c>
      <c r="H49" s="189">
        <f>E49+F49-G49</f>
        <v>20475</v>
      </c>
      <c r="I49" s="190">
        <f>H49</f>
        <v>20475</v>
      </c>
    </row>
    <row r="50" spans="1:9" s="99" customFormat="1" x14ac:dyDescent="0.2">
      <c r="A50" s="191"/>
      <c r="B50" s="192"/>
      <c r="C50" s="192" t="s">
        <v>8</v>
      </c>
      <c r="D50" s="192"/>
      <c r="E50" s="193">
        <v>419825.78</v>
      </c>
      <c r="F50" s="194">
        <v>277931</v>
      </c>
      <c r="G50" s="173">
        <v>337676.5</v>
      </c>
      <c r="H50" s="173">
        <f>E50+F50-G50</f>
        <v>360080.28</v>
      </c>
      <c r="I50" s="195">
        <v>189007.94</v>
      </c>
    </row>
    <row r="51" spans="1:9" s="99" customFormat="1" x14ac:dyDescent="0.2">
      <c r="A51" s="191"/>
      <c r="B51" s="192"/>
      <c r="C51" s="192" t="s">
        <v>7</v>
      </c>
      <c r="D51" s="192"/>
      <c r="E51" s="193">
        <v>961123.03</v>
      </c>
      <c r="F51" s="194">
        <f>180836.89+62000</f>
        <v>242836.89</v>
      </c>
      <c r="G51" s="173">
        <f>72000+50000</f>
        <v>122000</v>
      </c>
      <c r="H51" s="173">
        <f>E51+F51-G51</f>
        <v>1081959.92</v>
      </c>
      <c r="I51" s="195">
        <f>534036.63+12000</f>
        <v>546036.63</v>
      </c>
    </row>
    <row r="52" spans="1:9" s="99" customFormat="1" x14ac:dyDescent="0.2">
      <c r="A52" s="191"/>
      <c r="B52" s="192"/>
      <c r="C52" s="192" t="s">
        <v>15</v>
      </c>
      <c r="D52" s="192"/>
      <c r="E52" s="193">
        <v>870667.28</v>
      </c>
      <c r="F52" s="194">
        <v>3071891.99</v>
      </c>
      <c r="G52" s="173">
        <v>2870616.17</v>
      </c>
      <c r="H52" s="173">
        <f>E52+F52-G52</f>
        <v>1071943.1000000006</v>
      </c>
      <c r="I52" s="195">
        <f>H52</f>
        <v>1071943.1000000006</v>
      </c>
    </row>
    <row r="53" spans="1:9" s="172" customFormat="1" ht="18.75" thickBot="1" x14ac:dyDescent="0.4">
      <c r="A53" s="156" t="s">
        <v>2</v>
      </c>
      <c r="B53" s="157"/>
      <c r="C53" s="157"/>
      <c r="D53" s="157"/>
      <c r="E53" s="158">
        <f>E49+E50+E51+E52</f>
        <v>2282931.09</v>
      </c>
      <c r="F53" s="159">
        <f>F49+F50+F51+F52</f>
        <v>3610819.8800000004</v>
      </c>
      <c r="G53" s="159">
        <f>G49+G50+G51+G52</f>
        <v>3359292.67</v>
      </c>
      <c r="H53" s="159">
        <f>H49+H50+H51+H52</f>
        <v>2534458.3000000007</v>
      </c>
      <c r="I53" s="160">
        <f>I49+I50+I51+I52</f>
        <v>1827462.6700000006</v>
      </c>
    </row>
    <row r="54" spans="1:9" ht="18.75" thickTop="1" x14ac:dyDescent="0.35">
      <c r="A54" s="161"/>
      <c r="B54" s="131"/>
      <c r="C54" s="131"/>
      <c r="D54" s="97"/>
      <c r="E54" s="97"/>
      <c r="F54" s="134"/>
      <c r="G54" s="135"/>
      <c r="H54" s="162"/>
      <c r="I54" s="162"/>
    </row>
    <row r="55" spans="1:9" ht="18" x14ac:dyDescent="0.35">
      <c r="A55" s="161"/>
      <c r="B55" s="131"/>
      <c r="C55" s="131"/>
      <c r="D55" s="97"/>
      <c r="E55" s="97"/>
      <c r="F55" s="134"/>
      <c r="G55" s="163"/>
      <c r="H55" s="164"/>
      <c r="I55" s="164"/>
    </row>
    <row r="56" spans="1:9" ht="18" x14ac:dyDescent="0.35">
      <c r="A56" s="165"/>
      <c r="B56" s="166"/>
      <c r="C56" s="166"/>
      <c r="D56" s="167"/>
      <c r="E56" s="167"/>
      <c r="F56" s="164"/>
      <c r="G56" s="164"/>
      <c r="H56" s="164"/>
      <c r="I56" s="164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  <row r="58" spans="1:9" x14ac:dyDescent="0.2">
      <c r="A58" s="168"/>
      <c r="B58" s="168"/>
      <c r="C58" s="168"/>
      <c r="D58" s="168"/>
      <c r="E58" s="168"/>
      <c r="F58" s="168"/>
      <c r="G58" s="168"/>
      <c r="H58" s="168"/>
      <c r="I58" s="168"/>
    </row>
  </sheetData>
  <mergeCells count="12">
    <mergeCell ref="H44:I44"/>
    <mergeCell ref="F46:F47"/>
    <mergeCell ref="E5:I5"/>
    <mergeCell ref="E7:I7"/>
    <mergeCell ref="H12:I12"/>
    <mergeCell ref="A31:I33"/>
    <mergeCell ref="A41:I41"/>
    <mergeCell ref="A42:I42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2"/>
  <dimension ref="A1:J57"/>
  <sheetViews>
    <sheetView topLeftCell="A13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" style="71" customWidth="1"/>
    <col min="10" max="10" width="18.85546875" style="72" customWidth="1"/>
    <col min="11" max="11" width="15.425781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273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274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195</v>
      </c>
      <c r="F6" s="78"/>
      <c r="G6" s="79" t="s">
        <v>40</v>
      </c>
      <c r="H6" s="80">
        <v>1202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4.5" customHeight="1" x14ac:dyDescent="0.4">
      <c r="A8" s="76"/>
      <c r="E8" s="81"/>
      <c r="F8" s="81"/>
      <c r="G8" s="81"/>
      <c r="H8" s="79"/>
      <c r="I8" s="81"/>
    </row>
    <row r="9" spans="1:9" ht="44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9313</v>
      </c>
      <c r="F15" s="33">
        <v>29472</v>
      </c>
      <c r="G15" s="32">
        <f>H15+I15</f>
        <v>29471</v>
      </c>
      <c r="H15" s="34">
        <v>28784</v>
      </c>
      <c r="I15" s="34">
        <v>687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9418</v>
      </c>
      <c r="F17" s="33">
        <v>29641</v>
      </c>
      <c r="G17" s="32">
        <f>H17+I17</f>
        <v>29642</v>
      </c>
      <c r="H17" s="34">
        <v>28786</v>
      </c>
      <c r="I17" s="34">
        <v>856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171</v>
      </c>
      <c r="H23" s="107">
        <f>H17-H15-H21</f>
        <v>2</v>
      </c>
      <c r="I23" s="107">
        <f>I17-I15-I21</f>
        <v>169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169084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20000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149084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4.68</v>
      </c>
      <c r="G36" s="126">
        <v>4.68</v>
      </c>
      <c r="H36" s="110" t="s">
        <v>39</v>
      </c>
      <c r="I36" s="127">
        <f>G36/F36</f>
        <v>1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956</v>
      </c>
      <c r="G37" s="126">
        <v>956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717</v>
      </c>
      <c r="G39" s="126">
        <v>717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5100</v>
      </c>
      <c r="F48" s="147">
        <v>30000</v>
      </c>
      <c r="G48" s="148">
        <v>7000</v>
      </c>
      <c r="H48" s="148">
        <f>E48+F48-G48</f>
        <v>28100</v>
      </c>
      <c r="I48" s="149">
        <f>H48</f>
        <v>28100</v>
      </c>
    </row>
    <row r="49" spans="1:9" x14ac:dyDescent="0.2">
      <c r="A49" s="150"/>
      <c r="B49" s="151"/>
      <c r="C49" s="151" t="s">
        <v>8</v>
      </c>
      <c r="D49" s="151"/>
      <c r="E49" s="152">
        <v>192253.87</v>
      </c>
      <c r="F49" s="153">
        <v>292216</v>
      </c>
      <c r="G49" s="154">
        <v>277657</v>
      </c>
      <c r="H49" s="154">
        <f>E49+F49-G49</f>
        <v>206812.87</v>
      </c>
      <c r="I49" s="155">
        <v>178094.92</v>
      </c>
    </row>
    <row r="50" spans="1:9" x14ac:dyDescent="0.2">
      <c r="A50" s="150"/>
      <c r="B50" s="151"/>
      <c r="C50" s="151" t="s">
        <v>7</v>
      </c>
      <c r="D50" s="151"/>
      <c r="E50" s="152">
        <f>342796.04+61500</f>
        <v>404296.04</v>
      </c>
      <c r="F50" s="153">
        <f>90955.82+56175</f>
        <v>147130.82</v>
      </c>
      <c r="G50" s="154">
        <v>23855</v>
      </c>
      <c r="H50" s="154">
        <f>E50+F50-G50</f>
        <v>527571.86</v>
      </c>
      <c r="I50" s="155">
        <f>H50</f>
        <v>527571.86</v>
      </c>
    </row>
    <row r="51" spans="1:9" x14ac:dyDescent="0.2">
      <c r="A51" s="150"/>
      <c r="B51" s="151"/>
      <c r="C51" s="151" t="s">
        <v>15</v>
      </c>
      <c r="D51" s="151"/>
      <c r="E51" s="152">
        <v>442063.55</v>
      </c>
      <c r="F51" s="153">
        <v>978980</v>
      </c>
      <c r="G51" s="154">
        <v>1249886</v>
      </c>
      <c r="H51" s="154">
        <f>E51+F51-G51</f>
        <v>171157.55000000005</v>
      </c>
      <c r="I51" s="155">
        <f>H51</f>
        <v>171157.55000000005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1043713.46</v>
      </c>
      <c r="F52" s="159">
        <f>F48+F49+F50+F51</f>
        <v>1448326.82</v>
      </c>
      <c r="G52" s="159">
        <f>G48+G49+G50+G51</f>
        <v>1558398</v>
      </c>
      <c r="H52" s="159">
        <f>H48+H49+H50+H51</f>
        <v>933642.28</v>
      </c>
      <c r="I52" s="160">
        <f>I48+I49+I50+I51</f>
        <v>904924.33000000007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5:I5"/>
    <mergeCell ref="E7:I7"/>
    <mergeCell ref="H12:I12"/>
    <mergeCell ref="A31:I33"/>
    <mergeCell ref="A41:I41"/>
    <mergeCell ref="A2:D2"/>
    <mergeCell ref="E2:I2"/>
    <mergeCell ref="E3:I3"/>
    <mergeCell ref="E4:I4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4"/>
  <dimension ref="A1:I56"/>
  <sheetViews>
    <sheetView topLeftCell="A16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139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196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197</v>
      </c>
      <c r="F6" s="78"/>
      <c r="G6" s="79" t="s">
        <v>40</v>
      </c>
      <c r="H6" s="80">
        <v>1204</v>
      </c>
    </row>
    <row r="7" spans="1:9" ht="9.75" customHeight="1" x14ac:dyDescent="0.4">
      <c r="A7" s="76"/>
      <c r="E7" s="390" t="s">
        <v>116</v>
      </c>
      <c r="F7" s="390"/>
      <c r="G7" s="390"/>
      <c r="H7" s="390"/>
      <c r="I7" s="390"/>
    </row>
    <row r="8" spans="1:9" ht="2.25" customHeight="1" x14ac:dyDescent="0.4">
      <c r="A8" s="76"/>
      <c r="E8" s="81"/>
      <c r="F8" s="81"/>
      <c r="G8" s="81"/>
      <c r="H8" s="79"/>
      <c r="I8" s="81"/>
    </row>
    <row r="9" spans="1:9" ht="36.7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19415</v>
      </c>
      <c r="F15" s="33">
        <v>72142</v>
      </c>
      <c r="G15" s="32">
        <f>H15+I15</f>
        <v>72844</v>
      </c>
      <c r="H15" s="34">
        <v>68962</v>
      </c>
      <c r="I15" s="34">
        <v>3882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19415</v>
      </c>
      <c r="F17" s="33">
        <v>72792</v>
      </c>
      <c r="G17" s="32">
        <f>H17+I17</f>
        <v>73224</v>
      </c>
      <c r="H17" s="34">
        <v>67605</v>
      </c>
      <c r="I17" s="34">
        <v>5619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84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247</v>
      </c>
      <c r="H21" s="36">
        <v>0</v>
      </c>
      <c r="I21" s="36">
        <v>247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133</v>
      </c>
      <c r="H23" s="107">
        <f>H17-H15-H21</f>
        <v>-1357</v>
      </c>
      <c r="I23" s="107">
        <f>I17-I15-I21</f>
        <v>1490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132652.84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15000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117652.84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9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9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9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9" ht="16.5" x14ac:dyDescent="0.35">
      <c r="A36" s="124" t="s">
        <v>33</v>
      </c>
      <c r="B36" s="125"/>
      <c r="C36" s="2"/>
      <c r="D36" s="125"/>
      <c r="E36" s="97"/>
      <c r="F36" s="126">
        <v>3050</v>
      </c>
      <c r="G36" s="126">
        <v>2291.5500000000002</v>
      </c>
      <c r="H36" s="110" t="s">
        <v>39</v>
      </c>
      <c r="I36" s="127">
        <f>G36/F36</f>
        <v>0.75132786885245906</v>
      </c>
    </row>
    <row r="37" spans="1:9" ht="16.5" x14ac:dyDescent="0.35">
      <c r="A37" s="124" t="s">
        <v>123</v>
      </c>
      <c r="B37" s="125"/>
      <c r="C37" s="2"/>
      <c r="D37" s="128"/>
      <c r="E37" s="128"/>
      <c r="F37" s="126">
        <v>2414</v>
      </c>
      <c r="G37" s="126">
        <v>2407.8249999999998</v>
      </c>
      <c r="H37" s="110" t="s">
        <v>39</v>
      </c>
      <c r="I37" s="127">
        <f>G37/F37</f>
        <v>0.99744200497100244</v>
      </c>
    </row>
    <row r="38" spans="1:9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9" ht="16.5" x14ac:dyDescent="0.35">
      <c r="A39" s="124" t="s">
        <v>236</v>
      </c>
      <c r="B39" s="125"/>
      <c r="C39" s="2"/>
      <c r="D39" s="97"/>
      <c r="E39" s="97"/>
      <c r="F39" s="126">
        <v>1811</v>
      </c>
      <c r="G39" s="126">
        <v>1811</v>
      </c>
      <c r="H39" s="110" t="s">
        <v>39</v>
      </c>
      <c r="I39" s="127">
        <f>G39/F39</f>
        <v>1</v>
      </c>
    </row>
    <row r="40" spans="1:9" ht="18" x14ac:dyDescent="0.35">
      <c r="A40" s="124" t="s">
        <v>237</v>
      </c>
      <c r="B40" s="131"/>
      <c r="C40" s="131"/>
      <c r="D40" s="97"/>
      <c r="E40" s="97"/>
      <c r="F40" s="132">
        <v>1150</v>
      </c>
      <c r="G40" s="126">
        <v>1150</v>
      </c>
      <c r="H40" s="110" t="s">
        <v>39</v>
      </c>
      <c r="I40" s="130" t="s">
        <v>241</v>
      </c>
    </row>
    <row r="41" spans="1:9" ht="18" x14ac:dyDescent="0.35">
      <c r="A41" s="124"/>
      <c r="B41" s="131"/>
      <c r="C41" s="131"/>
      <c r="D41" s="97"/>
      <c r="E41" s="97"/>
      <c r="F41" s="132"/>
      <c r="G41" s="126"/>
      <c r="H41" s="110"/>
      <c r="I41" s="127"/>
    </row>
    <row r="42" spans="1:9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9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9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9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9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9" ht="13.5" thickTop="1" x14ac:dyDescent="0.2">
      <c r="A47" s="144"/>
      <c r="B47" s="145"/>
      <c r="C47" s="145" t="s">
        <v>6</v>
      </c>
      <c r="D47" s="145"/>
      <c r="E47" s="146">
        <v>110000</v>
      </c>
      <c r="F47" s="147">
        <v>2500</v>
      </c>
      <c r="G47" s="148">
        <v>36200</v>
      </c>
      <c r="H47" s="148">
        <f>E47+F47-G47</f>
        <v>76300</v>
      </c>
      <c r="I47" s="149">
        <f>H47</f>
        <v>76300</v>
      </c>
    </row>
    <row r="48" spans="1:9" x14ac:dyDescent="0.2">
      <c r="A48" s="150"/>
      <c r="B48" s="151"/>
      <c r="C48" s="151" t="s">
        <v>8</v>
      </c>
      <c r="D48" s="151"/>
      <c r="E48" s="152">
        <v>583644.80000000005</v>
      </c>
      <c r="F48" s="153">
        <v>752050</v>
      </c>
      <c r="G48" s="154">
        <v>630794.5</v>
      </c>
      <c r="H48" s="154">
        <f>E48+F48-G48</f>
        <v>704900.3</v>
      </c>
      <c r="I48" s="155">
        <v>649267</v>
      </c>
    </row>
    <row r="49" spans="1:9" x14ac:dyDescent="0.2">
      <c r="A49" s="150"/>
      <c r="B49" s="151"/>
      <c r="C49" s="151" t="s">
        <v>7</v>
      </c>
      <c r="D49" s="151"/>
      <c r="E49" s="152">
        <v>48909.43</v>
      </c>
      <c r="F49" s="153">
        <f>2993.35+29680</f>
        <v>32673.35</v>
      </c>
      <c r="G49" s="154">
        <v>29680</v>
      </c>
      <c r="H49" s="154">
        <f>E49+F49-G49</f>
        <v>51902.78</v>
      </c>
      <c r="I49" s="155">
        <f>H49</f>
        <v>51902.78</v>
      </c>
    </row>
    <row r="50" spans="1:9" x14ac:dyDescent="0.2">
      <c r="A50" s="150"/>
      <c r="B50" s="151"/>
      <c r="C50" s="151" t="s">
        <v>15</v>
      </c>
      <c r="D50" s="151"/>
      <c r="E50" s="152">
        <v>1529719.58</v>
      </c>
      <c r="F50" s="153">
        <v>3022341</v>
      </c>
      <c r="G50" s="154">
        <v>3548547</v>
      </c>
      <c r="H50" s="154">
        <f>E50+F50-G50</f>
        <v>1003513.5800000001</v>
      </c>
      <c r="I50" s="155">
        <f>H50</f>
        <v>1003513.5800000001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2272273.81</v>
      </c>
      <c r="F51" s="159">
        <f>F47+F48+F49+F50</f>
        <v>3809564.35</v>
      </c>
      <c r="G51" s="159">
        <f>G47+G48+G49+G50</f>
        <v>4245221.5</v>
      </c>
      <c r="H51" s="159">
        <f>H47+H48+H49+H50</f>
        <v>1836616.6600000001</v>
      </c>
      <c r="I51" s="160">
        <f>I47+I48+I49+I50</f>
        <v>1780983.36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  <row r="55" spans="1:9" x14ac:dyDescent="0.2">
      <c r="A55" s="168"/>
      <c r="B55" s="168"/>
      <c r="C55" s="168"/>
      <c r="D55" s="168"/>
      <c r="E55" s="168"/>
      <c r="F55" s="168"/>
      <c r="G55" s="168"/>
      <c r="H55" s="168"/>
      <c r="I55" s="168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</sheetData>
  <mergeCells count="10">
    <mergeCell ref="A31:I33"/>
    <mergeCell ref="H42:I42"/>
    <mergeCell ref="F44:F45"/>
    <mergeCell ref="A2:D2"/>
    <mergeCell ref="E2:I2"/>
    <mergeCell ref="E4:I4"/>
    <mergeCell ref="H12:I12"/>
    <mergeCell ref="E3:I3"/>
    <mergeCell ref="E5:I5"/>
    <mergeCell ref="E7:I7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5"/>
  <dimension ref="A1:J57"/>
  <sheetViews>
    <sheetView topLeftCell="A13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129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198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199</v>
      </c>
      <c r="F6" s="78"/>
      <c r="G6" s="79" t="s">
        <v>40</v>
      </c>
      <c r="H6" s="80">
        <v>1205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6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9353</v>
      </c>
      <c r="F15" s="33">
        <v>28361</v>
      </c>
      <c r="G15" s="32">
        <f>H15+I15</f>
        <v>28093</v>
      </c>
      <c r="H15" s="34">
        <v>26746</v>
      </c>
      <c r="I15" s="34">
        <v>1347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9353</v>
      </c>
      <c r="F17" s="33">
        <v>28361</v>
      </c>
      <c r="G17" s="32">
        <f>H17+I17</f>
        <v>28264</v>
      </c>
      <c r="H17" s="34">
        <v>26737</v>
      </c>
      <c r="I17" s="34">
        <v>1527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171</v>
      </c>
      <c r="H23" s="107">
        <f>H17-H15-H21</f>
        <v>-9</v>
      </c>
      <c r="I23" s="107">
        <f>I17-I15-I21</f>
        <v>180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170587.06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20000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150587.06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650</v>
      </c>
      <c r="G36" s="126">
        <v>428.01</v>
      </c>
      <c r="H36" s="110" t="s">
        <v>39</v>
      </c>
      <c r="I36" s="127">
        <f>G36/F36</f>
        <v>0.65847692307692307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463</v>
      </c>
      <c r="G37" s="126">
        <v>474.21100000000001</v>
      </c>
      <c r="H37" s="110" t="s">
        <v>39</v>
      </c>
      <c r="I37" s="127">
        <f>G37/F37</f>
        <v>1.0242138228941684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347</v>
      </c>
      <c r="G39" s="126">
        <v>347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303</v>
      </c>
      <c r="B41" s="397"/>
      <c r="C41" s="397"/>
      <c r="D41" s="397"/>
      <c r="E41" s="397"/>
      <c r="F41" s="397"/>
      <c r="G41" s="397"/>
      <c r="H41" s="397"/>
      <c r="I41" s="397"/>
      <c r="J41" s="133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31648</v>
      </c>
      <c r="F48" s="147">
        <v>30000</v>
      </c>
      <c r="G48" s="148">
        <v>19900</v>
      </c>
      <c r="H48" s="148">
        <f>E48+F48-G48</f>
        <v>41748</v>
      </c>
      <c r="I48" s="149">
        <f>H48</f>
        <v>41748</v>
      </c>
    </row>
    <row r="49" spans="1:9" x14ac:dyDescent="0.2">
      <c r="A49" s="150"/>
      <c r="B49" s="151"/>
      <c r="C49" s="151" t="s">
        <v>8</v>
      </c>
      <c r="D49" s="151"/>
      <c r="E49" s="152">
        <v>37243.74</v>
      </c>
      <c r="F49" s="153">
        <v>263429</v>
      </c>
      <c r="G49" s="154">
        <v>248292</v>
      </c>
      <c r="H49" s="154">
        <f>E49+F49-G49</f>
        <v>52380.739999999991</v>
      </c>
      <c r="I49" s="155">
        <v>36962.949999999997</v>
      </c>
    </row>
    <row r="50" spans="1:9" x14ac:dyDescent="0.2">
      <c r="A50" s="150"/>
      <c r="B50" s="151"/>
      <c r="C50" s="151" t="s">
        <v>7</v>
      </c>
      <c r="D50" s="151"/>
      <c r="E50" s="152">
        <f>101575.89+203326</f>
        <v>304901.89</v>
      </c>
      <c r="F50" s="153">
        <f>170668.01+30500</f>
        <v>201168.01</v>
      </c>
      <c r="G50" s="154">
        <f>71280+159657</f>
        <v>230937</v>
      </c>
      <c r="H50" s="154">
        <f>E50+F50-G50</f>
        <v>275132.90000000002</v>
      </c>
      <c r="I50" s="155">
        <f>H50</f>
        <v>275132.90000000002</v>
      </c>
    </row>
    <row r="51" spans="1:9" x14ac:dyDescent="0.2">
      <c r="A51" s="150"/>
      <c r="B51" s="151"/>
      <c r="C51" s="151" t="s">
        <v>15</v>
      </c>
      <c r="D51" s="151"/>
      <c r="E51" s="152">
        <v>126305.60000000001</v>
      </c>
      <c r="F51" s="153">
        <v>698138</v>
      </c>
      <c r="G51" s="154">
        <v>689829</v>
      </c>
      <c r="H51" s="154">
        <f>E51+F51-G51</f>
        <v>134614.59999999998</v>
      </c>
      <c r="I51" s="155">
        <f>H51</f>
        <v>134614.59999999998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500099.23</v>
      </c>
      <c r="F52" s="159">
        <f>F48+F49+F50+F51</f>
        <v>1192735.01</v>
      </c>
      <c r="G52" s="159">
        <f>G48+G49+G50+G51</f>
        <v>1188958</v>
      </c>
      <c r="H52" s="159">
        <f>H48+H49+H50+H51</f>
        <v>503876.24</v>
      </c>
      <c r="I52" s="160">
        <f>I48+I49+I50+I51</f>
        <v>488458.45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H12:I12"/>
    <mergeCell ref="E5:I5"/>
    <mergeCell ref="E7:I7"/>
    <mergeCell ref="A31:I33"/>
    <mergeCell ref="A41:I41"/>
    <mergeCell ref="A2:D2"/>
    <mergeCell ref="E2:I2"/>
    <mergeCell ref="E4:I4"/>
    <mergeCell ref="E3:I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1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6"/>
  <dimension ref="A1:J57"/>
  <sheetViews>
    <sheetView topLeftCell="A5" zoomScale="110" zoomScaleNormal="110" workbookViewId="0">
      <selection activeCell="E2" sqref="E2:I2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" style="71" customWidth="1"/>
    <col min="10" max="10" width="18.85546875" style="72" customWidth="1"/>
    <col min="11" max="11" width="17.710937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276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200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201</v>
      </c>
      <c r="F6" s="78"/>
      <c r="G6" s="79" t="s">
        <v>40</v>
      </c>
      <c r="H6" s="80">
        <v>1206</v>
      </c>
    </row>
    <row r="7" spans="1:9" ht="9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6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6730</v>
      </c>
      <c r="F15" s="33">
        <v>37302</v>
      </c>
      <c r="G15" s="32">
        <f>H15+I15</f>
        <v>37302</v>
      </c>
      <c r="H15" s="34">
        <v>36976</v>
      </c>
      <c r="I15" s="34">
        <v>326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6730</v>
      </c>
      <c r="F17" s="33">
        <v>37366</v>
      </c>
      <c r="G17" s="32">
        <f>H17+I17</f>
        <v>37303</v>
      </c>
      <c r="H17" s="34">
        <v>36777</v>
      </c>
      <c r="I17" s="34">
        <v>526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</v>
      </c>
      <c r="H23" s="107">
        <f>H17-H15-H21</f>
        <v>-199</v>
      </c>
      <c r="I23" s="107">
        <f>I17-I15-I21</f>
        <v>200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0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390</v>
      </c>
      <c r="G36" s="126">
        <v>390</v>
      </c>
      <c r="H36" s="110" t="s">
        <v>39</v>
      </c>
      <c r="I36" s="127">
        <f>G36/F36</f>
        <v>1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336</v>
      </c>
      <c r="G37" s="126">
        <v>336.48</v>
      </c>
      <c r="H37" s="110" t="s">
        <v>39</v>
      </c>
      <c r="I37" s="127">
        <f>G37/F37</f>
        <v>1.0014285714285716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252</v>
      </c>
      <c r="G39" s="126">
        <v>252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304</v>
      </c>
      <c r="B41" s="397"/>
      <c r="C41" s="397"/>
      <c r="D41" s="397"/>
      <c r="E41" s="397"/>
      <c r="F41" s="397"/>
      <c r="G41" s="397"/>
      <c r="H41" s="397"/>
      <c r="I41" s="397"/>
    </row>
    <row r="42" spans="1:10" ht="18" x14ac:dyDescent="0.35">
      <c r="A42" s="124"/>
      <c r="B42" s="176"/>
      <c r="C42" s="176"/>
      <c r="D42" s="177"/>
      <c r="E42" s="177"/>
      <c r="F42" s="178"/>
      <c r="G42" s="179"/>
      <c r="H42" s="110"/>
      <c r="I42" s="180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181458.72</v>
      </c>
      <c r="F48" s="147">
        <v>0</v>
      </c>
      <c r="G48" s="148">
        <v>4000</v>
      </c>
      <c r="H48" s="148">
        <f>E48+F48-G48</f>
        <v>177458.72</v>
      </c>
      <c r="I48" s="149">
        <f>H48</f>
        <v>177458.72</v>
      </c>
    </row>
    <row r="49" spans="1:9" x14ac:dyDescent="0.2">
      <c r="A49" s="150"/>
      <c r="B49" s="151"/>
      <c r="C49" s="151" t="s">
        <v>8</v>
      </c>
      <c r="D49" s="151"/>
      <c r="E49" s="152">
        <v>961264.9</v>
      </c>
      <c r="F49" s="153">
        <v>429577</v>
      </c>
      <c r="G49" s="154">
        <v>359754</v>
      </c>
      <c r="H49" s="154">
        <f>E49+F49-G49</f>
        <v>1031087.8999999999</v>
      </c>
      <c r="I49" s="155">
        <v>945082.65</v>
      </c>
    </row>
    <row r="50" spans="1:9" x14ac:dyDescent="0.2">
      <c r="A50" s="150"/>
      <c r="B50" s="151"/>
      <c r="C50" s="151" t="s">
        <v>7</v>
      </c>
      <c r="D50" s="151"/>
      <c r="E50" s="152">
        <v>417501.55</v>
      </c>
      <c r="F50" s="153">
        <v>0</v>
      </c>
      <c r="G50" s="154">
        <v>0</v>
      </c>
      <c r="H50" s="154">
        <f>E50+F50-G50</f>
        <v>417501.55</v>
      </c>
      <c r="I50" s="155">
        <f>H50</f>
        <v>417501.55</v>
      </c>
    </row>
    <row r="51" spans="1:9" x14ac:dyDescent="0.2">
      <c r="A51" s="150"/>
      <c r="B51" s="151"/>
      <c r="C51" s="151" t="s">
        <v>15</v>
      </c>
      <c r="D51" s="151"/>
      <c r="E51" s="152">
        <v>156581.07</v>
      </c>
      <c r="F51" s="153">
        <v>338035</v>
      </c>
      <c r="G51" s="154">
        <v>295995</v>
      </c>
      <c r="H51" s="154">
        <f>E51+F51-G51</f>
        <v>198621.07</v>
      </c>
      <c r="I51" s="155">
        <f>H51</f>
        <v>198621.07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1716806.2400000002</v>
      </c>
      <c r="F52" s="159">
        <f>F48+F49+F50+F51</f>
        <v>767612</v>
      </c>
      <c r="G52" s="159">
        <f>G48+G49+G50+G51</f>
        <v>659749</v>
      </c>
      <c r="H52" s="159">
        <f>H48+H49+H50+H51</f>
        <v>1824669.24</v>
      </c>
      <c r="I52" s="160">
        <f>I48+I49+I50+I51</f>
        <v>1738663.9900000002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F45:F46"/>
    <mergeCell ref="H12:I12"/>
    <mergeCell ref="E5:I5"/>
    <mergeCell ref="E7:I7"/>
    <mergeCell ref="A31:I33"/>
    <mergeCell ref="H43:I43"/>
    <mergeCell ref="A41:I41"/>
    <mergeCell ref="A2:D2"/>
    <mergeCell ref="E2:I2"/>
    <mergeCell ref="E4:I4"/>
    <mergeCell ref="E3:I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7"/>
  <dimension ref="A1:J57"/>
  <sheetViews>
    <sheetView topLeftCell="A10" zoomScale="110" zoomScaleNormal="110" workbookViewId="0">
      <selection activeCell="G28" sqref="G28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202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305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203</v>
      </c>
      <c r="F6" s="78"/>
      <c r="G6" s="79" t="s">
        <v>40</v>
      </c>
      <c r="H6" s="80">
        <v>1207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3.7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4738</v>
      </c>
      <c r="F15" s="33">
        <v>36630</v>
      </c>
      <c r="G15" s="32">
        <f>H15+I15</f>
        <v>36630</v>
      </c>
      <c r="H15" s="34">
        <v>36551</v>
      </c>
      <c r="I15" s="34">
        <v>79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4889</v>
      </c>
      <c r="F17" s="33">
        <v>36806</v>
      </c>
      <c r="G17" s="32">
        <f>H17+I17</f>
        <v>36723</v>
      </c>
      <c r="H17" s="34">
        <v>36440</v>
      </c>
      <c r="I17" s="34">
        <v>283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93</v>
      </c>
      <c r="H23" s="107">
        <f>H17-H15-H21</f>
        <v>-111</v>
      </c>
      <c r="I23" s="107">
        <f>I17-I15-I21</f>
        <v>204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91486.31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4000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87486.31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100</v>
      </c>
      <c r="G36" s="126">
        <v>98</v>
      </c>
      <c r="H36" s="110" t="s">
        <v>39</v>
      </c>
      <c r="I36" s="127">
        <f>G36/F36</f>
        <v>0.98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762.26599999999996</v>
      </c>
      <c r="G37" s="126">
        <v>736.37149999999997</v>
      </c>
      <c r="H37" s="110" t="s">
        <v>39</v>
      </c>
      <c r="I37" s="127">
        <f>G37/F37</f>
        <v>0.96602957497776365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572</v>
      </c>
      <c r="G39" s="126">
        <v>572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x14ac:dyDescent="0.2">
      <c r="A42" s="299"/>
      <c r="B42" s="299"/>
      <c r="C42" s="299"/>
      <c r="D42" s="299"/>
      <c r="E42" s="299"/>
      <c r="F42" s="299"/>
      <c r="G42" s="299"/>
      <c r="H42" s="299"/>
      <c r="I42" s="299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26000</v>
      </c>
      <c r="F48" s="147">
        <v>4000</v>
      </c>
      <c r="G48" s="148">
        <v>2000</v>
      </c>
      <c r="H48" s="148">
        <f>E48+F48-G48</f>
        <v>28000</v>
      </c>
      <c r="I48" s="149">
        <f>H48</f>
        <v>28000</v>
      </c>
    </row>
    <row r="49" spans="1:9" x14ac:dyDescent="0.2">
      <c r="A49" s="150"/>
      <c r="B49" s="151"/>
      <c r="C49" s="151" t="s">
        <v>8</v>
      </c>
      <c r="D49" s="151"/>
      <c r="E49" s="152">
        <v>93196.68</v>
      </c>
      <c r="F49" s="153">
        <v>454420</v>
      </c>
      <c r="G49" s="154">
        <v>484859</v>
      </c>
      <c r="H49" s="154">
        <f>E49+F49-G49</f>
        <v>62757.679999999935</v>
      </c>
      <c r="I49" s="155">
        <v>20832.259999999998</v>
      </c>
    </row>
    <row r="50" spans="1:9" x14ac:dyDescent="0.2">
      <c r="A50" s="150"/>
      <c r="B50" s="151"/>
      <c r="C50" s="151" t="s">
        <v>7</v>
      </c>
      <c r="D50" s="151"/>
      <c r="E50" s="152">
        <v>408629.89</v>
      </c>
      <c r="F50" s="153">
        <v>81736.75</v>
      </c>
      <c r="G50" s="154">
        <v>150000</v>
      </c>
      <c r="H50" s="154">
        <f>E50+F50-G50</f>
        <v>340366.64</v>
      </c>
      <c r="I50" s="155">
        <f>H50</f>
        <v>340366.64</v>
      </c>
    </row>
    <row r="51" spans="1:9" x14ac:dyDescent="0.2">
      <c r="A51" s="150"/>
      <c r="B51" s="151"/>
      <c r="C51" s="151" t="s">
        <v>15</v>
      </c>
      <c r="D51" s="151"/>
      <c r="E51" s="152">
        <v>202703</v>
      </c>
      <c r="F51" s="153">
        <v>894066</v>
      </c>
      <c r="G51" s="154">
        <v>956198</v>
      </c>
      <c r="H51" s="154">
        <f>E51+F51-G51</f>
        <v>140571</v>
      </c>
      <c r="I51" s="155">
        <f>H51</f>
        <v>140571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730529.57000000007</v>
      </c>
      <c r="F52" s="159">
        <f>F48+F49+F50+F51</f>
        <v>1434222.75</v>
      </c>
      <c r="G52" s="159">
        <f>G48+G49+G50+G51</f>
        <v>1593057</v>
      </c>
      <c r="H52" s="159">
        <f>H48+H49+H50+H51</f>
        <v>571695.31999999995</v>
      </c>
      <c r="I52" s="160">
        <f>I48+I49+I50+I51</f>
        <v>529769.9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F45:F46"/>
    <mergeCell ref="H12:I12"/>
    <mergeCell ref="A41:I41"/>
    <mergeCell ref="A31:I33"/>
    <mergeCell ref="E5:I5"/>
    <mergeCell ref="E7:I7"/>
    <mergeCell ref="A2:D2"/>
    <mergeCell ref="E2:I2"/>
    <mergeCell ref="E4:I4"/>
    <mergeCell ref="E3:I3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8"/>
  <dimension ref="A1:J57"/>
  <sheetViews>
    <sheetView topLeftCell="A10" zoomScale="110" zoomScaleNormal="110" workbookViewId="0">
      <selection activeCell="I50" sqref="I5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425781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36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204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205</v>
      </c>
      <c r="F6" s="78"/>
      <c r="G6" s="79" t="s">
        <v>40</v>
      </c>
      <c r="H6" s="80">
        <v>1208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4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13129</v>
      </c>
      <c r="F15" s="33">
        <v>29400</v>
      </c>
      <c r="G15" s="32">
        <f>H15+I15</f>
        <v>29205</v>
      </c>
      <c r="H15" s="34">
        <v>26843</v>
      </c>
      <c r="I15" s="34">
        <v>2362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13129</v>
      </c>
      <c r="F17" s="33">
        <v>30022</v>
      </c>
      <c r="G17" s="32">
        <f>H17+I17</f>
        <v>29221</v>
      </c>
      <c r="H17" s="34">
        <v>26525</v>
      </c>
      <c r="I17" s="34">
        <v>2696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16</v>
      </c>
      <c r="H23" s="107">
        <f>H17-H15-H21</f>
        <v>-318</v>
      </c>
      <c r="I23" s="107">
        <f>I17-I15-I21</f>
        <v>334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15828.71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15828.71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400</v>
      </c>
      <c r="G36" s="126">
        <v>120</v>
      </c>
      <c r="H36" s="110" t="s">
        <v>39</v>
      </c>
      <c r="I36" s="127">
        <f>G36/F36</f>
        <v>0.3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889</v>
      </c>
      <c r="G37" s="126">
        <v>933.77338999999995</v>
      </c>
      <c r="H37" s="110" t="s">
        <v>39</v>
      </c>
      <c r="I37" s="127">
        <f>G37/F37</f>
        <v>1.050363768278965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667</v>
      </c>
      <c r="G39" s="126">
        <v>667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83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307</v>
      </c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x14ac:dyDescent="0.2">
      <c r="A42" s="299"/>
      <c r="B42" s="299"/>
      <c r="C42" s="299"/>
      <c r="D42" s="299"/>
      <c r="E42" s="299"/>
      <c r="F42" s="299"/>
      <c r="G42" s="299"/>
      <c r="H42" s="299"/>
      <c r="I42" s="299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47100</v>
      </c>
      <c r="F48" s="147">
        <v>20000</v>
      </c>
      <c r="G48" s="148">
        <v>14000</v>
      </c>
      <c r="H48" s="148">
        <f>E48+F48-G48</f>
        <v>53100</v>
      </c>
      <c r="I48" s="149">
        <f>H48</f>
        <v>53100</v>
      </c>
    </row>
    <row r="49" spans="1:9" x14ac:dyDescent="0.2">
      <c r="A49" s="150"/>
      <c r="B49" s="151"/>
      <c r="C49" s="151" t="s">
        <v>8</v>
      </c>
      <c r="D49" s="151"/>
      <c r="E49" s="152">
        <v>47725.3</v>
      </c>
      <c r="F49" s="153">
        <v>263676</v>
      </c>
      <c r="G49" s="154">
        <v>240679</v>
      </c>
      <c r="H49" s="154">
        <f>E49+F49-G49</f>
        <v>70722.299999999988</v>
      </c>
      <c r="I49" s="155">
        <v>75734.3</v>
      </c>
    </row>
    <row r="50" spans="1:9" x14ac:dyDescent="0.2">
      <c r="A50" s="150"/>
      <c r="B50" s="151"/>
      <c r="C50" s="151" t="s">
        <v>7</v>
      </c>
      <c r="D50" s="151"/>
      <c r="E50" s="152">
        <v>340622.51</v>
      </c>
      <c r="F50" s="153">
        <v>57322.14</v>
      </c>
      <c r="G50" s="154">
        <v>0</v>
      </c>
      <c r="H50" s="154">
        <f>E50+F50-G50</f>
        <v>397944.65</v>
      </c>
      <c r="I50" s="155">
        <f>H50</f>
        <v>397944.65</v>
      </c>
    </row>
    <row r="51" spans="1:9" x14ac:dyDescent="0.2">
      <c r="A51" s="150"/>
      <c r="B51" s="151"/>
      <c r="C51" s="151" t="s">
        <v>15</v>
      </c>
      <c r="D51" s="151"/>
      <c r="E51" s="152">
        <v>200896.92</v>
      </c>
      <c r="F51" s="153">
        <v>1122053.8999999999</v>
      </c>
      <c r="G51" s="154">
        <v>759400</v>
      </c>
      <c r="H51" s="154">
        <f>E51+F51-G51</f>
        <v>563550.81999999983</v>
      </c>
      <c r="I51" s="155">
        <f>H51</f>
        <v>563550.81999999983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636344.73</v>
      </c>
      <c r="F52" s="159">
        <f>F48+F49+F50+F51</f>
        <v>1463052.04</v>
      </c>
      <c r="G52" s="159">
        <f>G48+G49+G50+G51</f>
        <v>1014079</v>
      </c>
      <c r="H52" s="159">
        <f>H48+H49+H50+H51</f>
        <v>1085317.7699999998</v>
      </c>
      <c r="I52" s="160">
        <f>I48+I49+I50+I51</f>
        <v>1090329.77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F45:F46"/>
    <mergeCell ref="H12:I12"/>
    <mergeCell ref="A41:I41"/>
    <mergeCell ref="A31:I33"/>
    <mergeCell ref="E5:I5"/>
    <mergeCell ref="E7:I7"/>
    <mergeCell ref="A2:D2"/>
    <mergeCell ref="E2:I2"/>
    <mergeCell ref="E4:I4"/>
    <mergeCell ref="E3:I3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9"/>
  <dimension ref="A1:J57"/>
  <sheetViews>
    <sheetView topLeftCell="A16" zoomScale="110" zoomScaleNormal="110" workbookViewId="0">
      <selection activeCell="A31" sqref="A31:I33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206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207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208</v>
      </c>
      <c r="F6" s="78"/>
      <c r="G6" s="79" t="s">
        <v>40</v>
      </c>
      <c r="H6" s="80">
        <v>1300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7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2593</v>
      </c>
      <c r="F15" s="33">
        <v>15631</v>
      </c>
      <c r="G15" s="32">
        <f>H15+I15</f>
        <v>15631</v>
      </c>
      <c r="H15" s="34">
        <v>15585</v>
      </c>
      <c r="I15" s="34">
        <v>46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2593</v>
      </c>
      <c r="F17" s="33">
        <v>15678</v>
      </c>
      <c r="G17" s="32">
        <f>H17+I17</f>
        <v>15678</v>
      </c>
      <c r="H17" s="34">
        <v>15589</v>
      </c>
      <c r="I17" s="34">
        <v>89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47</v>
      </c>
      <c r="H23" s="107">
        <f>H17-H15-H21</f>
        <v>4</v>
      </c>
      <c r="I23" s="107">
        <f>I17-I15-I21</f>
        <v>43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45710.57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12814.71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32895.86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ht="12.75" customHeight="1" x14ac:dyDescent="0.2">
      <c r="A31" s="414"/>
      <c r="B31" s="415"/>
      <c r="C31" s="415"/>
      <c r="D31" s="415"/>
      <c r="E31" s="415"/>
      <c r="F31" s="415"/>
      <c r="G31" s="415"/>
      <c r="H31" s="415"/>
      <c r="I31" s="415"/>
    </row>
    <row r="32" spans="1:9" x14ac:dyDescent="0.2">
      <c r="A32" s="415"/>
      <c r="B32" s="415"/>
      <c r="C32" s="415"/>
      <c r="D32" s="415"/>
      <c r="E32" s="415"/>
      <c r="F32" s="415"/>
      <c r="G32" s="415"/>
      <c r="H32" s="415"/>
      <c r="I32" s="415"/>
    </row>
    <row r="33" spans="1:10" x14ac:dyDescent="0.2">
      <c r="A33" s="415"/>
      <c r="B33" s="415"/>
      <c r="C33" s="415"/>
      <c r="D33" s="415"/>
      <c r="E33" s="415"/>
      <c r="F33" s="415"/>
      <c r="G33" s="415"/>
      <c r="H33" s="415"/>
      <c r="I33" s="415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s="182" customFormat="1" ht="16.5" x14ac:dyDescent="0.35">
      <c r="A37" s="124" t="s">
        <v>123</v>
      </c>
      <c r="B37" s="125"/>
      <c r="C37" s="2"/>
      <c r="D37" s="128"/>
      <c r="E37" s="128"/>
      <c r="F37" s="126">
        <v>442.39100000000002</v>
      </c>
      <c r="G37" s="126">
        <v>442.39100000000002</v>
      </c>
      <c r="H37" s="169" t="s">
        <v>39</v>
      </c>
      <c r="I37" s="170">
        <f>G37/F37</f>
        <v>1</v>
      </c>
      <c r="J37" s="181"/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332</v>
      </c>
      <c r="G39" s="126">
        <v>332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15185.29</v>
      </c>
      <c r="F48" s="147">
        <v>2000</v>
      </c>
      <c r="G48" s="148">
        <v>8000</v>
      </c>
      <c r="H48" s="148">
        <f>E48+F48-G48</f>
        <v>9185.2900000000009</v>
      </c>
      <c r="I48" s="149">
        <f>H48</f>
        <v>9185.2900000000009</v>
      </c>
    </row>
    <row r="49" spans="1:9" x14ac:dyDescent="0.2">
      <c r="A49" s="150"/>
      <c r="B49" s="151"/>
      <c r="C49" s="151" t="s">
        <v>8</v>
      </c>
      <c r="D49" s="151"/>
      <c r="E49" s="152">
        <v>269779.92</v>
      </c>
      <c r="F49" s="153">
        <v>182580</v>
      </c>
      <c r="G49" s="154">
        <v>243551.8</v>
      </c>
      <c r="H49" s="154">
        <f>E49+F49-G49</f>
        <v>208808.12</v>
      </c>
      <c r="I49" s="155">
        <v>128156.61</v>
      </c>
    </row>
    <row r="50" spans="1:9" x14ac:dyDescent="0.2">
      <c r="A50" s="150"/>
      <c r="B50" s="151"/>
      <c r="C50" s="151" t="s">
        <v>7</v>
      </c>
      <c r="D50" s="151"/>
      <c r="E50" s="152">
        <v>14670.62</v>
      </c>
      <c r="F50" s="153">
        <f>113819.34+55483</f>
        <v>169302.34</v>
      </c>
      <c r="G50" s="154">
        <v>0</v>
      </c>
      <c r="H50" s="154">
        <f>E50+F50-G50</f>
        <v>183972.96</v>
      </c>
      <c r="I50" s="155">
        <f>H50</f>
        <v>183972.96</v>
      </c>
    </row>
    <row r="51" spans="1:9" x14ac:dyDescent="0.2">
      <c r="A51" s="150"/>
      <c r="B51" s="151"/>
      <c r="C51" s="151" t="s">
        <v>15</v>
      </c>
      <c r="D51" s="151"/>
      <c r="E51" s="152">
        <v>168438.55</v>
      </c>
      <c r="F51" s="153">
        <v>465047</v>
      </c>
      <c r="G51" s="154">
        <v>531334</v>
      </c>
      <c r="H51" s="154">
        <f>E51+F51-G51</f>
        <v>102151.55000000005</v>
      </c>
      <c r="I51" s="155">
        <f>H51</f>
        <v>102151.55000000005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468074.37999999995</v>
      </c>
      <c r="F52" s="159">
        <f>F48+F49+F50+F51</f>
        <v>818929.34</v>
      </c>
      <c r="G52" s="159">
        <f>G48+G49+G50+G51</f>
        <v>782885.8</v>
      </c>
      <c r="H52" s="159">
        <f>H48+H49+H50+H51</f>
        <v>504117.92000000004</v>
      </c>
      <c r="I52" s="160">
        <f>I48+I49+I50+I51</f>
        <v>423466.41000000003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A2:D2"/>
    <mergeCell ref="E2:I2"/>
    <mergeCell ref="E4:I4"/>
    <mergeCell ref="H12:I12"/>
    <mergeCell ref="F45:F46"/>
    <mergeCell ref="E3:I3"/>
    <mergeCell ref="E5:I5"/>
    <mergeCell ref="E7:I7"/>
    <mergeCell ref="A31:I33"/>
    <mergeCell ref="H43:I43"/>
    <mergeCell ref="A41:I41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0"/>
  <dimension ref="A1:J57"/>
  <sheetViews>
    <sheetView topLeftCell="A19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" style="71" customWidth="1"/>
    <col min="10" max="10" width="18.85546875" style="72" customWidth="1"/>
    <col min="11" max="11" width="15.425781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209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210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211</v>
      </c>
      <c r="F6" s="78"/>
      <c r="G6" s="79" t="s">
        <v>40</v>
      </c>
      <c r="H6" s="80">
        <v>1301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6.7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4696</v>
      </c>
      <c r="F15" s="33">
        <v>30433</v>
      </c>
      <c r="G15" s="32">
        <f>H15+I15</f>
        <v>30433</v>
      </c>
      <c r="H15" s="34">
        <v>30399</v>
      </c>
      <c r="I15" s="34">
        <v>34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4717</v>
      </c>
      <c r="F17" s="33">
        <v>30520</v>
      </c>
      <c r="G17" s="32">
        <f>H17+I17</f>
        <v>30520</v>
      </c>
      <c r="H17" s="34">
        <v>30453</v>
      </c>
      <c r="I17" s="34">
        <v>67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87</v>
      </c>
      <c r="H23" s="107">
        <f>H17-H15-H21</f>
        <v>54</v>
      </c>
      <c r="I23" s="107">
        <f>I17-I15-I21</f>
        <v>33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85362.51999999999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20000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65362.52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1335.4190000000001</v>
      </c>
      <c r="G37" s="126">
        <v>1335.4190000000001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1002</v>
      </c>
      <c r="G39" s="126">
        <v>1002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16001</v>
      </c>
      <c r="F48" s="147">
        <v>25000</v>
      </c>
      <c r="G48" s="148">
        <v>2000</v>
      </c>
      <c r="H48" s="148">
        <f>E48+F48-G48</f>
        <v>39001</v>
      </c>
      <c r="I48" s="149">
        <f>H48</f>
        <v>39001</v>
      </c>
    </row>
    <row r="49" spans="1:9" x14ac:dyDescent="0.2">
      <c r="A49" s="150"/>
      <c r="B49" s="151"/>
      <c r="C49" s="151" t="s">
        <v>8</v>
      </c>
      <c r="D49" s="151"/>
      <c r="E49" s="152">
        <v>407357.58</v>
      </c>
      <c r="F49" s="153">
        <v>374700</v>
      </c>
      <c r="G49" s="154">
        <v>402964.7</v>
      </c>
      <c r="H49" s="154">
        <f>E49+F49-G49</f>
        <v>379092.88000000006</v>
      </c>
      <c r="I49" s="155">
        <v>263097.61</v>
      </c>
    </row>
    <row r="50" spans="1:9" x14ac:dyDescent="0.2">
      <c r="A50" s="150"/>
      <c r="B50" s="151"/>
      <c r="C50" s="151" t="s">
        <v>7</v>
      </c>
      <c r="D50" s="151"/>
      <c r="E50" s="152">
        <v>56611.88</v>
      </c>
      <c r="F50" s="153">
        <v>113153.26</v>
      </c>
      <c r="G50" s="154">
        <v>0</v>
      </c>
      <c r="H50" s="154">
        <f>E50+F50-G50</f>
        <v>169765.13999999998</v>
      </c>
      <c r="I50" s="155">
        <f>H50</f>
        <v>169765.13999999998</v>
      </c>
    </row>
    <row r="51" spans="1:9" x14ac:dyDescent="0.2">
      <c r="A51" s="150"/>
      <c r="B51" s="151"/>
      <c r="C51" s="151" t="s">
        <v>15</v>
      </c>
      <c r="D51" s="151"/>
      <c r="E51" s="152">
        <v>198176.48</v>
      </c>
      <c r="F51" s="153">
        <v>1346493.1</v>
      </c>
      <c r="G51" s="154">
        <v>1002000</v>
      </c>
      <c r="H51" s="154">
        <f>E51+F51-G51</f>
        <v>542669.58000000007</v>
      </c>
      <c r="I51" s="155">
        <f>H51</f>
        <v>542669.58000000007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678146.94000000006</v>
      </c>
      <c r="F52" s="159">
        <f>F48+F49+F50+F51</f>
        <v>1859346.36</v>
      </c>
      <c r="G52" s="159">
        <f>G48+G49+G50+G51</f>
        <v>1406964.7</v>
      </c>
      <c r="H52" s="159">
        <f>H48+H49+H50+H51</f>
        <v>1130528.6000000001</v>
      </c>
      <c r="I52" s="160">
        <f>I48+I49+I50+I51</f>
        <v>1014533.3300000001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F45:F46"/>
    <mergeCell ref="E7:I7"/>
    <mergeCell ref="A31:I33"/>
    <mergeCell ref="H12:I12"/>
    <mergeCell ref="A41:I41"/>
    <mergeCell ref="H43:I43"/>
    <mergeCell ref="E5:I5"/>
    <mergeCell ref="A2:D2"/>
    <mergeCell ref="E2:I2"/>
    <mergeCell ref="E4:I4"/>
    <mergeCell ref="E3:I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1"/>
  <dimension ref="A1:J57"/>
  <sheetViews>
    <sheetView topLeftCell="A26" zoomScale="110" zoomScaleNormal="110" workbookViewId="0">
      <selection activeCell="J40" sqref="J4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212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213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214</v>
      </c>
      <c r="F6" s="78"/>
      <c r="G6" s="79" t="s">
        <v>40</v>
      </c>
      <c r="H6" s="80">
        <v>1302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4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1402</v>
      </c>
      <c r="F15" s="33">
        <v>5176</v>
      </c>
      <c r="G15" s="32">
        <f>H15+I15</f>
        <v>5456</v>
      </c>
      <c r="H15" s="34">
        <v>5446</v>
      </c>
      <c r="I15" s="34">
        <v>10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1402</v>
      </c>
      <c r="F17" s="33">
        <v>5332</v>
      </c>
      <c r="G17" s="32">
        <f>H17+I17</f>
        <v>5486</v>
      </c>
      <c r="H17" s="34">
        <v>5475</v>
      </c>
      <c r="I17" s="34">
        <v>11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30</v>
      </c>
      <c r="H23" s="107">
        <f>H17-H15-H21</f>
        <v>29</v>
      </c>
      <c r="I23" s="107">
        <f>I17-I15-I21</f>
        <v>1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31697.33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10500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21197.33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112</v>
      </c>
      <c r="G37" s="126">
        <v>111.215</v>
      </c>
      <c r="H37" s="110" t="s">
        <v>39</v>
      </c>
      <c r="I37" s="127">
        <f>G37/F37</f>
        <v>0.99299107142857146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84</v>
      </c>
      <c r="G39" s="126">
        <v>84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x14ac:dyDescent="0.2">
      <c r="A42" s="299"/>
      <c r="B42" s="299"/>
      <c r="C42" s="299"/>
      <c r="D42" s="299"/>
      <c r="E42" s="299"/>
      <c r="F42" s="299"/>
      <c r="G42" s="299"/>
      <c r="H42" s="299"/>
      <c r="I42" s="299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9500</v>
      </c>
      <c r="F48" s="147">
        <v>30000</v>
      </c>
      <c r="G48" s="148">
        <v>30000</v>
      </c>
      <c r="H48" s="148">
        <f>E48+F48-G48</f>
        <v>9500</v>
      </c>
      <c r="I48" s="149">
        <f>H48</f>
        <v>9500</v>
      </c>
    </row>
    <row r="49" spans="1:9" x14ac:dyDescent="0.2">
      <c r="A49" s="150"/>
      <c r="B49" s="151"/>
      <c r="C49" s="151" t="s">
        <v>8</v>
      </c>
      <c r="D49" s="151"/>
      <c r="E49" s="152">
        <v>9978.73</v>
      </c>
      <c r="F49" s="153">
        <v>55160</v>
      </c>
      <c r="G49" s="154">
        <v>57011.43</v>
      </c>
      <c r="H49" s="154">
        <f>E49+F49-G49</f>
        <v>8127.2999999999956</v>
      </c>
      <c r="I49" s="155">
        <v>3477.89</v>
      </c>
    </row>
    <row r="50" spans="1:9" x14ac:dyDescent="0.2">
      <c r="A50" s="150"/>
      <c r="B50" s="151"/>
      <c r="C50" s="151" t="s">
        <v>7</v>
      </c>
      <c r="D50" s="151"/>
      <c r="E50" s="152">
        <v>253252.29</v>
      </c>
      <c r="F50" s="153">
        <v>155233.71</v>
      </c>
      <c r="G50" s="154">
        <v>10800</v>
      </c>
      <c r="H50" s="154">
        <f>E50+F50-G50</f>
        <v>397686</v>
      </c>
      <c r="I50" s="155">
        <f>H50</f>
        <v>397686</v>
      </c>
    </row>
    <row r="51" spans="1:9" x14ac:dyDescent="0.2">
      <c r="A51" s="150"/>
      <c r="B51" s="151"/>
      <c r="C51" s="151" t="s">
        <v>15</v>
      </c>
      <c r="D51" s="151"/>
      <c r="E51" s="152">
        <v>47423.72</v>
      </c>
      <c r="F51" s="153">
        <v>111713</v>
      </c>
      <c r="G51" s="154">
        <v>84000</v>
      </c>
      <c r="H51" s="154">
        <f>E51+F51-G51</f>
        <v>75136.72</v>
      </c>
      <c r="I51" s="155">
        <f>H51</f>
        <v>75136.72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320154.74</v>
      </c>
      <c r="F52" s="159">
        <f>F48+F49+F50+F51</f>
        <v>352106.70999999996</v>
      </c>
      <c r="G52" s="159">
        <f>G48+G49+G50+G51</f>
        <v>181811.43</v>
      </c>
      <c r="H52" s="159">
        <f>H48+H49+H50+H51</f>
        <v>490450.02</v>
      </c>
      <c r="I52" s="160">
        <f>I48+I49+I50+I51</f>
        <v>485800.61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F45:F46"/>
    <mergeCell ref="H12:I12"/>
    <mergeCell ref="A41:I41"/>
    <mergeCell ref="A31:I33"/>
    <mergeCell ref="E5:I5"/>
    <mergeCell ref="E7:I7"/>
    <mergeCell ref="A2:D2"/>
    <mergeCell ref="E2:I2"/>
    <mergeCell ref="E4:I4"/>
    <mergeCell ref="E3:I3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5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2"/>
  <dimension ref="A1:J57"/>
  <sheetViews>
    <sheetView topLeftCell="A16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42578125" style="71" customWidth="1"/>
    <col min="10" max="10" width="18.85546875" style="72" customWidth="1"/>
    <col min="11" max="11" width="15.425781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215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216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217</v>
      </c>
      <c r="F6" s="78"/>
      <c r="G6" s="79" t="s">
        <v>40</v>
      </c>
      <c r="H6" s="80">
        <v>1303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4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1308</v>
      </c>
      <c r="F15" s="33">
        <v>7627</v>
      </c>
      <c r="G15" s="32">
        <f>H15+I15</f>
        <v>7627</v>
      </c>
      <c r="H15" s="34">
        <v>7627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1308</v>
      </c>
      <c r="F17" s="33">
        <v>7799</v>
      </c>
      <c r="G17" s="32">
        <f>H17+I17</f>
        <v>7799</v>
      </c>
      <c r="H17" s="34">
        <v>7799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172</v>
      </c>
      <c r="H23" s="107">
        <f>H17-H15-H21</f>
        <v>172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172638.7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25000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147638.70000000001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129.648</v>
      </c>
      <c r="G37" s="126">
        <v>129.648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97</v>
      </c>
      <c r="G39" s="126">
        <v>97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13642</v>
      </c>
      <c r="F48" s="147">
        <v>2000</v>
      </c>
      <c r="G48" s="148">
        <v>9000</v>
      </c>
      <c r="H48" s="148">
        <f>E48+F48-G48</f>
        <v>6642</v>
      </c>
      <c r="I48" s="149">
        <f>H48</f>
        <v>6642</v>
      </c>
    </row>
    <row r="49" spans="1:9" x14ac:dyDescent="0.2">
      <c r="A49" s="150"/>
      <c r="B49" s="151"/>
      <c r="C49" s="151" t="s">
        <v>8</v>
      </c>
      <c r="D49" s="151"/>
      <c r="E49" s="152">
        <v>160799.5</v>
      </c>
      <c r="F49" s="153">
        <v>94360</v>
      </c>
      <c r="G49" s="154">
        <v>83116</v>
      </c>
      <c r="H49" s="154">
        <f>E49+F49-G49</f>
        <v>172043.5</v>
      </c>
      <c r="I49" s="155">
        <v>118561.63</v>
      </c>
    </row>
    <row r="50" spans="1:9" x14ac:dyDescent="0.2">
      <c r="A50" s="150"/>
      <c r="B50" s="151"/>
      <c r="C50" s="151" t="s">
        <v>7</v>
      </c>
      <c r="D50" s="151"/>
      <c r="E50" s="152">
        <v>337574.95</v>
      </c>
      <c r="F50" s="153">
        <v>93045.27</v>
      </c>
      <c r="G50" s="154">
        <v>0</v>
      </c>
      <c r="H50" s="154">
        <f>E50+F50-G50</f>
        <v>430620.22000000003</v>
      </c>
      <c r="I50" s="155">
        <f>H50</f>
        <v>430620.22000000003</v>
      </c>
    </row>
    <row r="51" spans="1:9" x14ac:dyDescent="0.2">
      <c r="A51" s="150"/>
      <c r="B51" s="151"/>
      <c r="C51" s="151" t="s">
        <v>15</v>
      </c>
      <c r="D51" s="151"/>
      <c r="E51" s="152">
        <v>61993.1</v>
      </c>
      <c r="F51" s="153">
        <v>129648</v>
      </c>
      <c r="G51" s="154">
        <v>153000</v>
      </c>
      <c r="H51" s="154">
        <f>E51+F51-G51</f>
        <v>38641.100000000006</v>
      </c>
      <c r="I51" s="155">
        <f>H51</f>
        <v>38641.100000000006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574009.55000000005</v>
      </c>
      <c r="F52" s="159">
        <f>F48+F49+F50+F51</f>
        <v>319053.27</v>
      </c>
      <c r="G52" s="159">
        <f>G48+G49+G50+G51</f>
        <v>245116</v>
      </c>
      <c r="H52" s="159">
        <f>H48+H49+H50+H51</f>
        <v>647946.81999999995</v>
      </c>
      <c r="I52" s="160">
        <f>I48+I49+I50+I51</f>
        <v>594464.95000000007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H43:I43"/>
    <mergeCell ref="F45:F46"/>
    <mergeCell ref="E7:I7"/>
    <mergeCell ref="H12:I12"/>
    <mergeCell ref="A41:I41"/>
    <mergeCell ref="A31:I33"/>
    <mergeCell ref="E5:I5"/>
    <mergeCell ref="A2:D2"/>
    <mergeCell ref="E2:I2"/>
    <mergeCell ref="E4:I4"/>
    <mergeCell ref="E3:I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6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3"/>
  <dimension ref="A1:J57"/>
  <sheetViews>
    <sheetView topLeftCell="A16" zoomScale="110" zoomScaleNormal="110" workbookViewId="0">
      <selection activeCell="I50" sqref="I5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218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219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220</v>
      </c>
      <c r="F6" s="78"/>
      <c r="G6" s="79" t="s">
        <v>40</v>
      </c>
      <c r="H6" s="80">
        <v>1304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5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1671</v>
      </c>
      <c r="F15" s="33">
        <v>11864</v>
      </c>
      <c r="G15" s="32">
        <f>H15+I15</f>
        <v>11870</v>
      </c>
      <c r="H15" s="34">
        <v>11870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1671</v>
      </c>
      <c r="F17" s="33">
        <v>11874</v>
      </c>
      <c r="G17" s="32">
        <f>H17+I17</f>
        <v>11875</v>
      </c>
      <c r="H17" s="34">
        <v>11875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5</v>
      </c>
      <c r="H23" s="107">
        <f>H17-H15-H21</f>
        <v>5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5066.9399999999996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5066.9399999999996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122.14400000000001</v>
      </c>
      <c r="G37" s="126">
        <v>122.14400000000001</v>
      </c>
      <c r="H37" s="110" t="s">
        <v>39</v>
      </c>
      <c r="I37" s="127">
        <f>G37/F37</f>
        <v>1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92</v>
      </c>
      <c r="G39" s="126">
        <v>92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/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83630</v>
      </c>
      <c r="F48" s="147">
        <v>0</v>
      </c>
      <c r="G48" s="148">
        <v>0</v>
      </c>
      <c r="H48" s="148">
        <f>E48+F48-G48</f>
        <v>83630</v>
      </c>
      <c r="I48" s="149">
        <f>H48</f>
        <v>83630</v>
      </c>
    </row>
    <row r="49" spans="1:9" x14ac:dyDescent="0.2">
      <c r="A49" s="150"/>
      <c r="B49" s="151"/>
      <c r="C49" s="151" t="s">
        <v>8</v>
      </c>
      <c r="D49" s="151"/>
      <c r="E49" s="152">
        <v>236967.67</v>
      </c>
      <c r="F49" s="153">
        <v>145200</v>
      </c>
      <c r="G49" s="154">
        <v>176489</v>
      </c>
      <c r="H49" s="154">
        <f>E49+F49-G49</f>
        <v>205678.67000000004</v>
      </c>
      <c r="I49" s="155">
        <v>200337.65</v>
      </c>
    </row>
    <row r="50" spans="1:9" x14ac:dyDescent="0.2">
      <c r="A50" s="150"/>
      <c r="B50" s="151"/>
      <c r="C50" s="151" t="s">
        <v>7</v>
      </c>
      <c r="D50" s="151"/>
      <c r="E50" s="152">
        <v>50954.79</v>
      </c>
      <c r="F50" s="153">
        <v>5024.8999999999996</v>
      </c>
      <c r="G50" s="154">
        <v>0</v>
      </c>
      <c r="H50" s="154">
        <f>E50+F50-G50</f>
        <v>55979.69</v>
      </c>
      <c r="I50" s="155">
        <f>H50</f>
        <v>55979.69</v>
      </c>
    </row>
    <row r="51" spans="1:9" x14ac:dyDescent="0.2">
      <c r="A51" s="150"/>
      <c r="B51" s="151"/>
      <c r="C51" s="151" t="s">
        <v>15</v>
      </c>
      <c r="D51" s="151"/>
      <c r="E51" s="152">
        <v>66484.600000000006</v>
      </c>
      <c r="F51" s="153">
        <v>122144</v>
      </c>
      <c r="G51" s="154">
        <v>92000</v>
      </c>
      <c r="H51" s="154">
        <f>E51+F51-G51</f>
        <v>96628.6</v>
      </c>
      <c r="I51" s="155">
        <f>H51</f>
        <v>96628.6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438037.06000000006</v>
      </c>
      <c r="F52" s="159">
        <f>F48+F49+F50+F51</f>
        <v>272368.90000000002</v>
      </c>
      <c r="G52" s="159">
        <f>G48+G49+G50+G51</f>
        <v>268489</v>
      </c>
      <c r="H52" s="159">
        <f>H48+H49+H50+H51</f>
        <v>441916.96000000008</v>
      </c>
      <c r="I52" s="160">
        <f>I48+I49+I50+I51</f>
        <v>436575.94000000006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A2:D2"/>
    <mergeCell ref="E2:I2"/>
    <mergeCell ref="E4:I4"/>
    <mergeCell ref="H12:I12"/>
    <mergeCell ref="E3:I3"/>
    <mergeCell ref="E5:I5"/>
    <mergeCell ref="E7:I7"/>
    <mergeCell ref="A41:I41"/>
    <mergeCell ref="A31:I33"/>
    <mergeCell ref="H43:I43"/>
    <mergeCell ref="F45:F46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7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4"/>
  <dimension ref="A1:J57"/>
  <sheetViews>
    <sheetView topLeftCell="A16" zoomScaleNormal="110" workbookViewId="0">
      <selection activeCell="K46" sqref="K46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221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222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223</v>
      </c>
      <c r="F6" s="78"/>
      <c r="G6" s="79" t="s">
        <v>40</v>
      </c>
      <c r="H6" s="80">
        <v>1316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39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464</v>
      </c>
      <c r="F15" s="33">
        <v>3066</v>
      </c>
      <c r="G15" s="32">
        <f>H15+I15</f>
        <v>3138</v>
      </c>
      <c r="H15" s="34">
        <v>3138</v>
      </c>
      <c r="I15" s="34">
        <v>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464</v>
      </c>
      <c r="F17" s="33">
        <v>3062</v>
      </c>
      <c r="G17" s="32">
        <f>H17+I17</f>
        <v>3046</v>
      </c>
      <c r="H17" s="34">
        <v>3046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-92</v>
      </c>
      <c r="H23" s="107">
        <f>H17-H15-H21</f>
        <v>-92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-91929.07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0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-91929.07</v>
      </c>
      <c r="H30" s="117" t="s">
        <v>120</v>
      </c>
      <c r="I30" s="111"/>
    </row>
    <row r="31" spans="1:9" ht="12.75" customHeight="1" x14ac:dyDescent="0.2">
      <c r="A31" s="416" t="s">
        <v>312</v>
      </c>
      <c r="B31" s="417"/>
      <c r="C31" s="417"/>
      <c r="D31" s="417"/>
      <c r="E31" s="417"/>
      <c r="F31" s="417"/>
      <c r="G31" s="417"/>
      <c r="H31" s="417"/>
      <c r="I31" s="417"/>
    </row>
    <row r="32" spans="1:9" ht="12.75" customHeight="1" x14ac:dyDescent="0.2">
      <c r="A32" s="417"/>
      <c r="B32" s="417"/>
      <c r="C32" s="417"/>
      <c r="D32" s="417"/>
      <c r="E32" s="417"/>
      <c r="F32" s="417"/>
      <c r="G32" s="417"/>
      <c r="H32" s="417"/>
      <c r="I32" s="417"/>
    </row>
    <row r="33" spans="1:10" x14ac:dyDescent="0.2">
      <c r="A33" s="417"/>
      <c r="B33" s="417"/>
      <c r="C33" s="417"/>
      <c r="D33" s="417"/>
      <c r="E33" s="417"/>
      <c r="F33" s="417"/>
      <c r="G33" s="417"/>
      <c r="H33" s="417"/>
      <c r="I33" s="417"/>
    </row>
    <row r="34" spans="1:10" x14ac:dyDescent="0.2">
      <c r="A34" s="417"/>
      <c r="B34" s="417"/>
      <c r="C34" s="417"/>
      <c r="D34" s="417"/>
      <c r="E34" s="417"/>
      <c r="F34" s="417"/>
      <c r="G34" s="417"/>
      <c r="H34" s="417"/>
      <c r="I34" s="417"/>
    </row>
    <row r="35" spans="1:10" ht="19.5" x14ac:dyDescent="0.4">
      <c r="A35" s="93" t="s">
        <v>31</v>
      </c>
      <c r="B35" s="93" t="s">
        <v>32</v>
      </c>
      <c r="C35" s="93"/>
      <c r="D35" s="119"/>
      <c r="E35" s="97"/>
      <c r="F35" s="3"/>
      <c r="G35" s="120"/>
      <c r="H35" s="111"/>
      <c r="I35" s="111"/>
    </row>
    <row r="36" spans="1:10" ht="18.75" x14ac:dyDescent="0.4">
      <c r="A36" s="93"/>
      <c r="B36" s="93"/>
      <c r="C36" s="93"/>
      <c r="D36" s="119"/>
      <c r="F36" s="121" t="s">
        <v>121</v>
      </c>
      <c r="G36" s="122" t="s">
        <v>0</v>
      </c>
      <c r="H36" s="88"/>
      <c r="I36" s="123" t="s">
        <v>122</v>
      </c>
    </row>
    <row r="37" spans="1:10" ht="16.5" x14ac:dyDescent="0.35">
      <c r="A37" s="124" t="s">
        <v>33</v>
      </c>
      <c r="B37" s="125"/>
      <c r="C37" s="2"/>
      <c r="D37" s="125"/>
      <c r="E37" s="97"/>
      <c r="F37" s="126">
        <v>0</v>
      </c>
      <c r="G37" s="126">
        <v>0</v>
      </c>
      <c r="H37" s="110" t="s">
        <v>39</v>
      </c>
      <c r="I37" s="127">
        <v>0</v>
      </c>
    </row>
    <row r="38" spans="1:10" ht="16.5" x14ac:dyDescent="0.35">
      <c r="A38" s="124" t="s">
        <v>123</v>
      </c>
      <c r="B38" s="125"/>
      <c r="C38" s="2"/>
      <c r="D38" s="128"/>
      <c r="E38" s="128"/>
      <c r="F38" s="126">
        <v>6.976</v>
      </c>
      <c r="G38" s="126">
        <v>6.976</v>
      </c>
      <c r="H38" s="110" t="s">
        <v>39</v>
      </c>
      <c r="I38" s="127">
        <f>G38/F38</f>
        <v>1</v>
      </c>
    </row>
    <row r="39" spans="1:10" ht="16.5" x14ac:dyDescent="0.35">
      <c r="A39" s="124" t="s">
        <v>124</v>
      </c>
      <c r="B39" s="125"/>
      <c r="C39" s="2"/>
      <c r="D39" s="128"/>
      <c r="E39" s="128"/>
      <c r="F39" s="126">
        <v>0</v>
      </c>
      <c r="G39" s="126">
        <v>0</v>
      </c>
      <c r="H39" s="110" t="s">
        <v>39</v>
      </c>
      <c r="I39" s="130" t="s">
        <v>241</v>
      </c>
    </row>
    <row r="40" spans="1:10" ht="16.5" x14ac:dyDescent="0.35">
      <c r="A40" s="124" t="s">
        <v>236</v>
      </c>
      <c r="B40" s="125"/>
      <c r="C40" s="2"/>
      <c r="D40" s="97"/>
      <c r="E40" s="97"/>
      <c r="F40" s="126">
        <v>5</v>
      </c>
      <c r="G40" s="126">
        <v>5</v>
      </c>
      <c r="H40" s="110" t="s">
        <v>39</v>
      </c>
      <c r="I40" s="127">
        <f>G40/F40</f>
        <v>1</v>
      </c>
    </row>
    <row r="41" spans="1:10" ht="18" x14ac:dyDescent="0.35">
      <c r="A41" s="124" t="s">
        <v>237</v>
      </c>
      <c r="B41" s="131"/>
      <c r="C41" s="131"/>
      <c r="D41" s="97"/>
      <c r="E41" s="97"/>
      <c r="F41" s="132">
        <v>0</v>
      </c>
      <c r="G41" s="126">
        <v>0</v>
      </c>
      <c r="H41" s="110" t="s">
        <v>39</v>
      </c>
      <c r="I41" s="130" t="s">
        <v>241</v>
      </c>
    </row>
    <row r="42" spans="1:10" ht="18" x14ac:dyDescent="0.35">
      <c r="A42" s="124"/>
      <c r="B42" s="176"/>
      <c r="C42" s="176"/>
      <c r="D42" s="177"/>
      <c r="E42" s="177"/>
      <c r="F42" s="178"/>
      <c r="G42" s="179"/>
      <c r="H42" s="110"/>
      <c r="I42" s="180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43118</v>
      </c>
      <c r="F48" s="147">
        <v>0</v>
      </c>
      <c r="G48" s="148">
        <v>1551</v>
      </c>
      <c r="H48" s="148">
        <f>E48+F48-G48</f>
        <v>41567</v>
      </c>
      <c r="I48" s="149">
        <f>H48</f>
        <v>41567</v>
      </c>
    </row>
    <row r="49" spans="1:9" x14ac:dyDescent="0.2">
      <c r="A49" s="150"/>
      <c r="B49" s="151"/>
      <c r="C49" s="151" t="s">
        <v>8</v>
      </c>
      <c r="D49" s="151"/>
      <c r="E49" s="152">
        <v>77824.3</v>
      </c>
      <c r="F49" s="153">
        <v>33729</v>
      </c>
      <c r="G49" s="154">
        <v>33301</v>
      </c>
      <c r="H49" s="154">
        <f>E49+F49-G49</f>
        <v>78252.3</v>
      </c>
      <c r="I49" s="155">
        <v>70514.11</v>
      </c>
    </row>
    <row r="50" spans="1:9" x14ac:dyDescent="0.2">
      <c r="A50" s="150"/>
      <c r="B50" s="151"/>
      <c r="C50" s="151" t="s">
        <v>7</v>
      </c>
      <c r="D50" s="151"/>
      <c r="E50" s="152">
        <f>8662.59+5000</f>
        <v>13662.59</v>
      </c>
      <c r="F50" s="153">
        <v>1388.13</v>
      </c>
      <c r="G50" s="154">
        <v>0</v>
      </c>
      <c r="H50" s="154">
        <f>E50+F50-G50</f>
        <v>15050.720000000001</v>
      </c>
      <c r="I50" s="155">
        <f>H50</f>
        <v>15050.720000000001</v>
      </c>
    </row>
    <row r="51" spans="1:9" x14ac:dyDescent="0.2">
      <c r="A51" s="150"/>
      <c r="B51" s="151"/>
      <c r="C51" s="151" t="s">
        <v>15</v>
      </c>
      <c r="D51" s="151"/>
      <c r="E51" s="152">
        <v>58381.52</v>
      </c>
      <c r="F51" s="153">
        <v>6976</v>
      </c>
      <c r="G51" s="154">
        <v>4972</v>
      </c>
      <c r="H51" s="154">
        <f>E51+F51-G51</f>
        <v>60385.52</v>
      </c>
      <c r="I51" s="155">
        <f>H51</f>
        <v>60385.52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192986.41</v>
      </c>
      <c r="F52" s="159">
        <f>F48+F49+F50+F51</f>
        <v>42093.13</v>
      </c>
      <c r="G52" s="159">
        <f>G48+G49+G50+G51</f>
        <v>39824</v>
      </c>
      <c r="H52" s="159">
        <f>H48+H49+H50+H51</f>
        <v>195255.54</v>
      </c>
      <c r="I52" s="160">
        <f>I48+I49+I50+I51</f>
        <v>187517.35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0">
    <mergeCell ref="F45:F46"/>
    <mergeCell ref="H12:I12"/>
    <mergeCell ref="A2:D2"/>
    <mergeCell ref="E2:I2"/>
    <mergeCell ref="E4:I4"/>
    <mergeCell ref="E3:I3"/>
    <mergeCell ref="E5:I5"/>
    <mergeCell ref="E7:I7"/>
    <mergeCell ref="A31:I34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8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5"/>
  <dimension ref="A1:J57"/>
  <sheetViews>
    <sheetView topLeftCell="A16" zoomScale="110" zoomScaleNormal="110" workbookViewId="0">
      <selection activeCell="J50" sqref="J5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113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288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224</v>
      </c>
      <c r="F6" s="78"/>
      <c r="G6" s="79" t="s">
        <v>40</v>
      </c>
      <c r="H6" s="80">
        <v>1350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43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8280</v>
      </c>
      <c r="F15" s="33">
        <v>21633</v>
      </c>
      <c r="G15" s="32">
        <f>H15+I15</f>
        <v>21531</v>
      </c>
      <c r="H15" s="34">
        <v>20882</v>
      </c>
      <c r="I15" s="34">
        <v>649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8280</v>
      </c>
      <c r="F17" s="33">
        <v>22066</v>
      </c>
      <c r="G17" s="32">
        <f>H17+I17</f>
        <v>21595</v>
      </c>
      <c r="H17" s="34">
        <v>20694</v>
      </c>
      <c r="I17" s="34">
        <v>901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64</v>
      </c>
      <c r="H23" s="107">
        <f>H17-H15-H21</f>
        <v>-188</v>
      </c>
      <c r="I23" s="107">
        <f>I17-I15-I21</f>
        <v>252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62785.58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61785.58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1275</v>
      </c>
      <c r="G36" s="126">
        <v>772</v>
      </c>
      <c r="H36" s="110" t="s">
        <v>39</v>
      </c>
      <c r="I36" s="127">
        <f>G36/F36</f>
        <v>0.60549019607843135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334</v>
      </c>
      <c r="G37" s="126">
        <v>339.93599999999998</v>
      </c>
      <c r="H37" s="110" t="s">
        <v>39</v>
      </c>
      <c r="I37" s="127">
        <f>G37/F37</f>
        <v>1.0177724550898204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128.81800000000001</v>
      </c>
      <c r="G38" s="126">
        <v>128.81800000000001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250</v>
      </c>
      <c r="G39" s="126">
        <v>250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310</v>
      </c>
      <c r="B41" s="397"/>
      <c r="C41" s="397"/>
      <c r="D41" s="397"/>
      <c r="E41" s="397"/>
      <c r="F41" s="397"/>
      <c r="G41" s="397"/>
      <c r="H41" s="397"/>
      <c r="I41" s="397"/>
    </row>
    <row r="42" spans="1:10" ht="18" x14ac:dyDescent="0.35">
      <c r="A42" s="124"/>
      <c r="B42" s="176"/>
      <c r="C42" s="176"/>
      <c r="D42" s="177"/>
      <c r="E42" s="177"/>
      <c r="F42" s="178"/>
      <c r="G42" s="179"/>
      <c r="H42" s="110"/>
      <c r="I42" s="180"/>
      <c r="J42" s="74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101000</v>
      </c>
      <c r="F48" s="147">
        <v>1000</v>
      </c>
      <c r="G48" s="148">
        <v>5000</v>
      </c>
      <c r="H48" s="148">
        <f>E48+F48-G48</f>
        <v>97000</v>
      </c>
      <c r="I48" s="149">
        <f>H48</f>
        <v>97000</v>
      </c>
    </row>
    <row r="49" spans="1:9" x14ac:dyDescent="0.2">
      <c r="A49" s="150"/>
      <c r="B49" s="151"/>
      <c r="C49" s="151" t="s">
        <v>8</v>
      </c>
      <c r="D49" s="151"/>
      <c r="E49" s="152">
        <v>114847.21</v>
      </c>
      <c r="F49" s="153">
        <v>158439.74</v>
      </c>
      <c r="G49" s="154">
        <v>204322</v>
      </c>
      <c r="H49" s="154">
        <f>E49+F49-G49</f>
        <v>68964.950000000012</v>
      </c>
      <c r="I49" s="155">
        <v>35990.120000000003</v>
      </c>
    </row>
    <row r="50" spans="1:9" x14ac:dyDescent="0.2">
      <c r="A50" s="150"/>
      <c r="B50" s="151"/>
      <c r="C50" s="151" t="s">
        <v>7</v>
      </c>
      <c r="D50" s="151"/>
      <c r="E50" s="152">
        <f>45870.58+29764</f>
        <v>75634.58</v>
      </c>
      <c r="F50" s="153">
        <f>138886.4+20000</f>
        <v>158886.39999999999</v>
      </c>
      <c r="G50" s="154">
        <f>100000+29467</f>
        <v>129467</v>
      </c>
      <c r="H50" s="154">
        <f>E50+F50-G50</f>
        <v>105053.97999999998</v>
      </c>
      <c r="I50" s="155">
        <f>H50</f>
        <v>105053.97999999998</v>
      </c>
    </row>
    <row r="51" spans="1:9" x14ac:dyDescent="0.2">
      <c r="A51" s="150"/>
      <c r="B51" s="151"/>
      <c r="C51" s="151" t="s">
        <v>15</v>
      </c>
      <c r="D51" s="151"/>
      <c r="E51" s="152">
        <v>471401.84</v>
      </c>
      <c r="F51" s="153">
        <v>491002</v>
      </c>
      <c r="G51" s="154">
        <v>344475</v>
      </c>
      <c r="H51" s="154">
        <f>E51+F51-G51</f>
        <v>617928.84000000008</v>
      </c>
      <c r="I51" s="155">
        <v>300287.81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762883.63000000012</v>
      </c>
      <c r="F52" s="159">
        <f>F48+F49+F50+F51</f>
        <v>809328.14</v>
      </c>
      <c r="G52" s="159">
        <f>G48+G49+G50+G51</f>
        <v>683264</v>
      </c>
      <c r="H52" s="159">
        <f>H48+H49+H50+H51</f>
        <v>888947.77</v>
      </c>
      <c r="I52" s="160">
        <f>I48+I49+I50+I51</f>
        <v>538331.90999999992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F45:F46"/>
    <mergeCell ref="E7:I7"/>
    <mergeCell ref="A31:I33"/>
    <mergeCell ref="H12:I12"/>
    <mergeCell ref="A41:I41"/>
    <mergeCell ref="H43:I43"/>
    <mergeCell ref="E5:I5"/>
    <mergeCell ref="A2:D2"/>
    <mergeCell ref="E2:I2"/>
    <mergeCell ref="E4:I4"/>
    <mergeCell ref="E3:I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29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6"/>
  <dimension ref="A1:J58"/>
  <sheetViews>
    <sheetView topLeftCell="A13" zoomScale="110" zoomScaleNormal="110" workbookViewId="0">
      <selection activeCell="G30" sqref="G30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225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226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227</v>
      </c>
      <c r="F6" s="78"/>
      <c r="G6" s="79" t="s">
        <v>40</v>
      </c>
      <c r="H6" s="80">
        <v>1351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3.75" customHeight="1" x14ac:dyDescent="0.4">
      <c r="A8" s="76"/>
      <c r="E8" s="81"/>
      <c r="F8" s="81"/>
      <c r="G8" s="81"/>
      <c r="H8" s="79"/>
      <c r="I8" s="81"/>
    </row>
    <row r="9" spans="1:9" ht="40.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1822</v>
      </c>
      <c r="F15" s="33">
        <v>6072</v>
      </c>
      <c r="G15" s="32">
        <f>H15+I15</f>
        <v>6072</v>
      </c>
      <c r="H15" s="34">
        <v>5953</v>
      </c>
      <c r="I15" s="34">
        <v>119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1912</v>
      </c>
      <c r="F17" s="33">
        <v>6425</v>
      </c>
      <c r="G17" s="32">
        <f>H17+I17</f>
        <v>6272</v>
      </c>
      <c r="H17" s="34">
        <v>5861</v>
      </c>
      <c r="I17" s="34">
        <v>411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200</v>
      </c>
      <c r="H23" s="107">
        <f>H17-H15-H21</f>
        <v>-92</v>
      </c>
      <c r="I23" s="107">
        <f>I17-I15-I21</f>
        <v>292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200735.44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20000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180735.44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180</v>
      </c>
      <c r="G36" s="126">
        <v>112.67</v>
      </c>
      <c r="H36" s="110" t="s">
        <v>39</v>
      </c>
      <c r="I36" s="127">
        <f>G36/F36</f>
        <v>0.62594444444444441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30.13</v>
      </c>
      <c r="G37" s="126">
        <v>9.9290000000000003</v>
      </c>
      <c r="H37" s="110" t="s">
        <v>39</v>
      </c>
      <c r="I37" s="127">
        <f>G37/F37</f>
        <v>0.329538665781613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23</v>
      </c>
      <c r="G39" s="126">
        <v>23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418" t="s">
        <v>308</v>
      </c>
      <c r="B41" s="418"/>
      <c r="C41" s="418"/>
      <c r="D41" s="418"/>
      <c r="E41" s="418"/>
      <c r="F41" s="418"/>
      <c r="G41" s="418"/>
      <c r="H41" s="418"/>
      <c r="I41" s="418"/>
    </row>
    <row r="42" spans="1:10" x14ac:dyDescent="0.2">
      <c r="A42" s="419"/>
      <c r="B42" s="419"/>
      <c r="C42" s="419"/>
      <c r="D42" s="419"/>
      <c r="E42" s="419"/>
      <c r="F42" s="419"/>
      <c r="G42" s="419"/>
      <c r="H42" s="419"/>
      <c r="I42" s="419"/>
    </row>
    <row r="43" spans="1:10" ht="18" x14ac:dyDescent="0.35">
      <c r="A43" s="124"/>
      <c r="B43" s="176"/>
      <c r="C43" s="176"/>
      <c r="D43" s="177"/>
      <c r="E43" s="177"/>
      <c r="F43" s="178"/>
      <c r="G43" s="179"/>
      <c r="H43" s="110"/>
      <c r="I43" s="180"/>
      <c r="J43" s="74"/>
    </row>
    <row r="44" spans="1:10" ht="19.5" thickBot="1" x14ac:dyDescent="0.45">
      <c r="A44" s="93" t="s">
        <v>11</v>
      </c>
      <c r="B44" s="93" t="s">
        <v>12</v>
      </c>
      <c r="C44" s="95"/>
      <c r="D44" s="97"/>
      <c r="E44" s="97"/>
      <c r="F44" s="134"/>
      <c r="G44" s="135"/>
      <c r="H44" s="393" t="s">
        <v>125</v>
      </c>
      <c r="I44" s="394"/>
    </row>
    <row r="45" spans="1:10" ht="18.75" thickTop="1" x14ac:dyDescent="0.35">
      <c r="A45" s="136"/>
      <c r="B45" s="137"/>
      <c r="C45" s="138"/>
      <c r="D45" s="137"/>
      <c r="E45" s="293" t="s">
        <v>291</v>
      </c>
      <c r="F45" s="294" t="s">
        <v>9</v>
      </c>
      <c r="G45" s="294" t="s">
        <v>10</v>
      </c>
      <c r="H45" s="301" t="s">
        <v>13</v>
      </c>
      <c r="I45" s="302" t="s">
        <v>126</v>
      </c>
    </row>
    <row r="46" spans="1:10" x14ac:dyDescent="0.2">
      <c r="A46" s="139"/>
      <c r="B46" s="134"/>
      <c r="C46" s="134"/>
      <c r="D46" s="134"/>
      <c r="E46" s="295"/>
      <c r="F46" s="392"/>
      <c r="G46" s="296"/>
      <c r="H46" s="303">
        <v>40543</v>
      </c>
      <c r="I46" s="304">
        <v>40543</v>
      </c>
    </row>
    <row r="47" spans="1:10" x14ac:dyDescent="0.2">
      <c r="A47" s="139"/>
      <c r="B47" s="134"/>
      <c r="C47" s="134"/>
      <c r="D47" s="134"/>
      <c r="E47" s="295"/>
      <c r="F47" s="392"/>
      <c r="G47" s="297"/>
      <c r="H47" s="297"/>
      <c r="I47" s="298"/>
    </row>
    <row r="48" spans="1:10" ht="13.5" thickBot="1" x14ac:dyDescent="0.25">
      <c r="A48" s="140"/>
      <c r="B48" s="141"/>
      <c r="C48" s="141"/>
      <c r="D48" s="141"/>
      <c r="E48" s="140"/>
      <c r="F48" s="142"/>
      <c r="G48" s="142"/>
      <c r="H48" s="142"/>
      <c r="I48" s="143"/>
    </row>
    <row r="49" spans="1:9" ht="13.5" thickTop="1" x14ac:dyDescent="0.2">
      <c r="A49" s="144"/>
      <c r="B49" s="145"/>
      <c r="C49" s="145" t="s">
        <v>6</v>
      </c>
      <c r="D49" s="145"/>
      <c r="E49" s="146">
        <v>18753</v>
      </c>
      <c r="F49" s="147">
        <v>5000</v>
      </c>
      <c r="G49" s="148">
        <v>5000</v>
      </c>
      <c r="H49" s="148">
        <f>E49+F49-G49</f>
        <v>18753</v>
      </c>
      <c r="I49" s="149">
        <f>H49</f>
        <v>18753</v>
      </c>
    </row>
    <row r="50" spans="1:9" x14ac:dyDescent="0.2">
      <c r="A50" s="150"/>
      <c r="B50" s="151"/>
      <c r="C50" s="151" t="s">
        <v>8</v>
      </c>
      <c r="D50" s="151"/>
      <c r="E50" s="152">
        <v>66478.25</v>
      </c>
      <c r="F50" s="153">
        <v>59260</v>
      </c>
      <c r="G50" s="154">
        <v>51769.2</v>
      </c>
      <c r="H50" s="154">
        <f>E50+F50-G50</f>
        <v>73969.05</v>
      </c>
      <c r="I50" s="155">
        <v>63985.25</v>
      </c>
    </row>
    <row r="51" spans="1:9" x14ac:dyDescent="0.2">
      <c r="A51" s="150"/>
      <c r="B51" s="151"/>
      <c r="C51" s="151" t="s">
        <v>7</v>
      </c>
      <c r="D51" s="151"/>
      <c r="E51" s="152">
        <v>30149.73</v>
      </c>
      <c r="F51" s="153">
        <f>28500+19017.12</f>
        <v>47517.119999999995</v>
      </c>
      <c r="G51" s="154">
        <v>28500</v>
      </c>
      <c r="H51" s="154">
        <f>E51+F51-G51</f>
        <v>49166.849999999991</v>
      </c>
      <c r="I51" s="155">
        <f>H51</f>
        <v>49166.849999999991</v>
      </c>
    </row>
    <row r="52" spans="1:9" x14ac:dyDescent="0.2">
      <c r="A52" s="150"/>
      <c r="B52" s="151"/>
      <c r="C52" s="151" t="s">
        <v>15</v>
      </c>
      <c r="D52" s="151"/>
      <c r="E52" s="152">
        <v>129306.29</v>
      </c>
      <c r="F52" s="153">
        <v>54224</v>
      </c>
      <c r="G52" s="154">
        <v>23000</v>
      </c>
      <c r="H52" s="154">
        <f>E52+F52-G52</f>
        <v>160530.28999999998</v>
      </c>
      <c r="I52" s="155">
        <v>144745.29</v>
      </c>
    </row>
    <row r="53" spans="1:9" ht="18.75" thickBot="1" x14ac:dyDescent="0.4">
      <c r="A53" s="156" t="s">
        <v>2</v>
      </c>
      <c r="B53" s="157"/>
      <c r="C53" s="157"/>
      <c r="D53" s="157"/>
      <c r="E53" s="158">
        <f>E49+E50+E51+E52</f>
        <v>244687.27</v>
      </c>
      <c r="F53" s="159">
        <f>F49+F50+F51+F52</f>
        <v>166001.12</v>
      </c>
      <c r="G53" s="159">
        <f>G49+G50+G51+G52</f>
        <v>108269.2</v>
      </c>
      <c r="H53" s="159">
        <f>H49+H50+H51+H52</f>
        <v>302419.18999999994</v>
      </c>
      <c r="I53" s="160">
        <f>I49+I50+I51+I52</f>
        <v>276650.39</v>
      </c>
    </row>
    <row r="54" spans="1:9" ht="18.75" thickTop="1" x14ac:dyDescent="0.35">
      <c r="A54" s="161"/>
      <c r="B54" s="131"/>
      <c r="C54" s="131"/>
      <c r="D54" s="97"/>
      <c r="E54" s="97"/>
      <c r="F54" s="134"/>
      <c r="G54" s="135"/>
      <c r="H54" s="162"/>
      <c r="I54" s="162"/>
    </row>
    <row r="55" spans="1:9" ht="18" x14ac:dyDescent="0.35">
      <c r="A55" s="161"/>
      <c r="B55" s="131"/>
      <c r="C55" s="131"/>
      <c r="D55" s="97"/>
      <c r="E55" s="97"/>
      <c r="F55" s="134"/>
      <c r="G55" s="163"/>
      <c r="H55" s="164"/>
      <c r="I55" s="164"/>
    </row>
    <row r="56" spans="1:9" ht="18" x14ac:dyDescent="0.35">
      <c r="A56" s="165"/>
      <c r="B56" s="166"/>
      <c r="C56" s="166"/>
      <c r="D56" s="167"/>
      <c r="E56" s="167"/>
      <c r="F56" s="164"/>
      <c r="G56" s="164"/>
      <c r="H56" s="164"/>
      <c r="I56" s="164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  <row r="58" spans="1:9" x14ac:dyDescent="0.2">
      <c r="A58" s="168"/>
      <c r="B58" s="168"/>
      <c r="C58" s="168"/>
      <c r="D58" s="168"/>
      <c r="E58" s="168"/>
      <c r="F58" s="168"/>
      <c r="G58" s="168"/>
      <c r="H58" s="168"/>
      <c r="I58" s="168"/>
    </row>
  </sheetData>
  <mergeCells count="11">
    <mergeCell ref="H44:I44"/>
    <mergeCell ref="F46:F47"/>
    <mergeCell ref="E5:I5"/>
    <mergeCell ref="H12:I12"/>
    <mergeCell ref="E7:I7"/>
    <mergeCell ref="A41:I42"/>
    <mergeCell ref="A31:I33"/>
    <mergeCell ref="A2:D2"/>
    <mergeCell ref="E2:I2"/>
    <mergeCell ref="E4:I4"/>
    <mergeCell ref="E3:I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0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7"/>
  <dimension ref="A1:J54"/>
  <sheetViews>
    <sheetView topLeftCell="A19" zoomScale="110" zoomScaleNormal="110" workbookViewId="0">
      <selection activeCell="K37" sqref="K37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140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228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229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230</v>
      </c>
      <c r="F6" s="78"/>
      <c r="G6" s="79" t="s">
        <v>40</v>
      </c>
      <c r="H6" s="80">
        <v>1352</v>
      </c>
    </row>
    <row r="7" spans="1:9" ht="8.25" customHeight="1" x14ac:dyDescent="0.4">
      <c r="A7" s="76"/>
      <c r="E7" s="390" t="s">
        <v>116</v>
      </c>
      <c r="F7" s="390"/>
      <c r="G7" s="390"/>
      <c r="H7" s="390"/>
      <c r="I7" s="390"/>
    </row>
    <row r="8" spans="1:9" ht="3" customHeight="1" x14ac:dyDescent="0.4">
      <c r="A8" s="76"/>
      <c r="E8" s="81"/>
      <c r="F8" s="81"/>
      <c r="G8" s="81"/>
      <c r="H8" s="79"/>
      <c r="I8" s="81"/>
    </row>
    <row r="9" spans="1:9" ht="36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4325</v>
      </c>
      <c r="F15" s="33">
        <v>6280</v>
      </c>
      <c r="G15" s="32">
        <f>H15+I15</f>
        <v>6090</v>
      </c>
      <c r="H15" s="34">
        <v>5642</v>
      </c>
      <c r="I15" s="34">
        <v>448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4325</v>
      </c>
      <c r="F17" s="33">
        <v>6280</v>
      </c>
      <c r="G17" s="32">
        <f>H17+I17</f>
        <v>6139</v>
      </c>
      <c r="H17" s="34">
        <v>5532</v>
      </c>
      <c r="I17" s="34">
        <v>607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49</v>
      </c>
      <c r="H23" s="107">
        <f>H17-H15-H21</f>
        <v>-110</v>
      </c>
      <c r="I23" s="107">
        <f>I17-I15-I21</f>
        <v>159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46130.34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20000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26130.34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420"/>
      <c r="B31" s="421"/>
      <c r="C31" s="421"/>
      <c r="D31" s="421"/>
      <c r="E31" s="421"/>
      <c r="F31" s="421"/>
      <c r="G31" s="421"/>
      <c r="H31" s="421"/>
      <c r="I31" s="421"/>
    </row>
    <row r="32" spans="1:9" x14ac:dyDescent="0.2">
      <c r="A32" s="175"/>
      <c r="B32" s="175"/>
      <c r="C32" s="175"/>
      <c r="D32" s="175"/>
      <c r="E32" s="175"/>
      <c r="F32" s="175"/>
      <c r="G32" s="175"/>
      <c r="H32" s="175"/>
      <c r="I32" s="175"/>
    </row>
    <row r="33" spans="1:10" ht="19.5" x14ac:dyDescent="0.4">
      <c r="A33" s="93" t="s">
        <v>31</v>
      </c>
      <c r="B33" s="93" t="s">
        <v>32</v>
      </c>
      <c r="C33" s="93"/>
      <c r="D33" s="119"/>
      <c r="E33" s="97"/>
      <c r="F33" s="3"/>
      <c r="G33" s="120"/>
      <c r="H33" s="111"/>
      <c r="I33" s="111"/>
    </row>
    <row r="34" spans="1:10" ht="18.75" x14ac:dyDescent="0.4">
      <c r="A34" s="93"/>
      <c r="B34" s="93"/>
      <c r="C34" s="93"/>
      <c r="D34" s="119"/>
      <c r="F34" s="121" t="s">
        <v>121</v>
      </c>
      <c r="G34" s="122" t="s">
        <v>0</v>
      </c>
      <c r="H34" s="88"/>
      <c r="I34" s="123" t="s">
        <v>122</v>
      </c>
    </row>
    <row r="35" spans="1:10" ht="16.5" x14ac:dyDescent="0.35">
      <c r="A35" s="124" t="s">
        <v>33</v>
      </c>
      <c r="B35" s="125"/>
      <c r="C35" s="2"/>
      <c r="D35" s="125"/>
      <c r="E35" s="97"/>
      <c r="F35" s="126">
        <v>130</v>
      </c>
      <c r="G35" s="126">
        <v>93.5</v>
      </c>
      <c r="H35" s="110" t="s">
        <v>39</v>
      </c>
      <c r="I35" s="127">
        <f>G35/F35</f>
        <v>0.71923076923076923</v>
      </c>
    </row>
    <row r="36" spans="1:10" ht="16.5" x14ac:dyDescent="0.35">
      <c r="A36" s="124" t="s">
        <v>123</v>
      </c>
      <c r="B36" s="125"/>
      <c r="C36" s="2"/>
      <c r="D36" s="128"/>
      <c r="E36" s="128"/>
      <c r="F36" s="126">
        <v>98.91</v>
      </c>
      <c r="G36" s="126">
        <v>98.91</v>
      </c>
      <c r="H36" s="110" t="s">
        <v>39</v>
      </c>
      <c r="I36" s="127">
        <f>G36/F36</f>
        <v>1</v>
      </c>
    </row>
    <row r="37" spans="1:10" ht="16.5" x14ac:dyDescent="0.35">
      <c r="A37" s="124" t="s">
        <v>124</v>
      </c>
      <c r="B37" s="125"/>
      <c r="C37" s="2"/>
      <c r="D37" s="128"/>
      <c r="E37" s="128"/>
      <c r="F37" s="126">
        <v>0</v>
      </c>
      <c r="G37" s="126">
        <v>0</v>
      </c>
      <c r="H37" s="110" t="s">
        <v>39</v>
      </c>
      <c r="I37" s="130" t="s">
        <v>241</v>
      </c>
    </row>
    <row r="38" spans="1:10" ht="16.5" x14ac:dyDescent="0.35">
      <c r="A38" s="124" t="s">
        <v>236</v>
      </c>
      <c r="B38" s="125"/>
      <c r="C38" s="2"/>
      <c r="D38" s="97"/>
      <c r="E38" s="97"/>
      <c r="F38" s="126">
        <v>74</v>
      </c>
      <c r="G38" s="126">
        <v>74</v>
      </c>
      <c r="H38" s="110" t="s">
        <v>39</v>
      </c>
      <c r="I38" s="127">
        <f>G38/F38</f>
        <v>1</v>
      </c>
    </row>
    <row r="39" spans="1:10" ht="18" x14ac:dyDescent="0.35">
      <c r="A39" s="124" t="s">
        <v>237</v>
      </c>
      <c r="B39" s="131"/>
      <c r="C39" s="131"/>
      <c r="D39" s="97"/>
      <c r="E39" s="97"/>
      <c r="F39" s="132">
        <v>0</v>
      </c>
      <c r="G39" s="126">
        <v>0</v>
      </c>
      <c r="H39" s="110" t="s">
        <v>39</v>
      </c>
      <c r="I39" s="130" t="s">
        <v>241</v>
      </c>
    </row>
    <row r="40" spans="1:10" x14ac:dyDescent="0.2">
      <c r="A40" s="397"/>
      <c r="B40" s="397"/>
      <c r="C40" s="397"/>
      <c r="D40" s="397"/>
      <c r="E40" s="397"/>
      <c r="F40" s="397"/>
      <c r="G40" s="397"/>
      <c r="H40" s="397"/>
      <c r="I40" s="397"/>
    </row>
    <row r="41" spans="1:10" ht="18" x14ac:dyDescent="0.35">
      <c r="A41" s="124"/>
      <c r="B41" s="176"/>
      <c r="C41" s="176"/>
      <c r="D41" s="177"/>
      <c r="E41" s="177"/>
      <c r="F41" s="178"/>
      <c r="G41" s="179"/>
      <c r="H41" s="110"/>
      <c r="I41" s="180"/>
      <c r="J41" s="74"/>
    </row>
    <row r="42" spans="1:10" ht="19.5" thickBot="1" x14ac:dyDescent="0.45">
      <c r="A42" s="93" t="s">
        <v>11</v>
      </c>
      <c r="B42" s="93" t="s">
        <v>12</v>
      </c>
      <c r="C42" s="95"/>
      <c r="D42" s="97"/>
      <c r="E42" s="97"/>
      <c r="F42" s="134"/>
      <c r="G42" s="135"/>
      <c r="H42" s="393" t="s">
        <v>125</v>
      </c>
      <c r="I42" s="394"/>
    </row>
    <row r="43" spans="1:10" ht="18.75" thickTop="1" x14ac:dyDescent="0.35">
      <c r="A43" s="136"/>
      <c r="B43" s="137"/>
      <c r="C43" s="138"/>
      <c r="D43" s="137"/>
      <c r="E43" s="293" t="s">
        <v>291</v>
      </c>
      <c r="F43" s="294" t="s">
        <v>9</v>
      </c>
      <c r="G43" s="294" t="s">
        <v>10</v>
      </c>
      <c r="H43" s="301" t="s">
        <v>13</v>
      </c>
      <c r="I43" s="302" t="s">
        <v>126</v>
      </c>
    </row>
    <row r="44" spans="1:10" x14ac:dyDescent="0.2">
      <c r="A44" s="139"/>
      <c r="B44" s="134"/>
      <c r="C44" s="134"/>
      <c r="D44" s="134"/>
      <c r="E44" s="295"/>
      <c r="F44" s="392"/>
      <c r="G44" s="296"/>
      <c r="H44" s="303">
        <v>40543</v>
      </c>
      <c r="I44" s="304">
        <v>40543</v>
      </c>
    </row>
    <row r="45" spans="1:10" x14ac:dyDescent="0.2">
      <c r="A45" s="139"/>
      <c r="B45" s="134"/>
      <c r="C45" s="134"/>
      <c r="D45" s="134"/>
      <c r="E45" s="295"/>
      <c r="F45" s="392"/>
      <c r="G45" s="297"/>
      <c r="H45" s="297"/>
      <c r="I45" s="298"/>
    </row>
    <row r="46" spans="1:10" ht="13.5" thickBot="1" x14ac:dyDescent="0.25">
      <c r="A46" s="140"/>
      <c r="B46" s="141"/>
      <c r="C46" s="141"/>
      <c r="D46" s="141"/>
      <c r="E46" s="140"/>
      <c r="F46" s="142"/>
      <c r="G46" s="142"/>
      <c r="H46" s="142"/>
      <c r="I46" s="143"/>
    </row>
    <row r="47" spans="1:10" ht="13.5" thickTop="1" x14ac:dyDescent="0.2">
      <c r="A47" s="144"/>
      <c r="B47" s="145"/>
      <c r="C47" s="145" t="s">
        <v>6</v>
      </c>
      <c r="D47" s="145"/>
      <c r="E47" s="146">
        <v>5159</v>
      </c>
      <c r="F47" s="147">
        <v>2000</v>
      </c>
      <c r="G47" s="148">
        <v>2000</v>
      </c>
      <c r="H47" s="148">
        <f>E47+F47-G47</f>
        <v>5159</v>
      </c>
      <c r="I47" s="149">
        <f>H47</f>
        <v>5159</v>
      </c>
    </row>
    <row r="48" spans="1:10" x14ac:dyDescent="0.2">
      <c r="A48" s="150"/>
      <c r="B48" s="151"/>
      <c r="C48" s="151" t="s">
        <v>8</v>
      </c>
      <c r="D48" s="151"/>
      <c r="E48" s="152">
        <v>9063.77</v>
      </c>
      <c r="F48" s="153">
        <v>39043</v>
      </c>
      <c r="G48" s="154">
        <v>37915</v>
      </c>
      <c r="H48" s="154">
        <f>E48+F48-G48</f>
        <v>10191.770000000004</v>
      </c>
      <c r="I48" s="155">
        <v>6237.16</v>
      </c>
    </row>
    <row r="49" spans="1:9" x14ac:dyDescent="0.2">
      <c r="A49" s="150"/>
      <c r="B49" s="151"/>
      <c r="C49" s="151" t="s">
        <v>7</v>
      </c>
      <c r="D49" s="151"/>
      <c r="E49" s="152">
        <v>66016.83</v>
      </c>
      <c r="F49" s="153">
        <f>24732.15+30600</f>
        <v>55332.15</v>
      </c>
      <c r="G49" s="154">
        <v>30600</v>
      </c>
      <c r="H49" s="154">
        <f>E49+F49-G49</f>
        <v>90748.98000000001</v>
      </c>
      <c r="I49" s="155">
        <f>H49</f>
        <v>90748.98000000001</v>
      </c>
    </row>
    <row r="50" spans="1:9" x14ac:dyDescent="0.2">
      <c r="A50" s="150"/>
      <c r="B50" s="151"/>
      <c r="C50" s="151" t="s">
        <v>15</v>
      </c>
      <c r="D50" s="151"/>
      <c r="E50" s="152">
        <v>37328.699999999997</v>
      </c>
      <c r="F50" s="153">
        <v>274443.38</v>
      </c>
      <c r="G50" s="154">
        <v>74000</v>
      </c>
      <c r="H50" s="154">
        <f>E50+F50-G50</f>
        <v>237772.08000000002</v>
      </c>
      <c r="I50" s="155">
        <f>H50</f>
        <v>237772.08000000002</v>
      </c>
    </row>
    <row r="51" spans="1:9" ht="18.75" thickBot="1" x14ac:dyDescent="0.4">
      <c r="A51" s="156" t="s">
        <v>2</v>
      </c>
      <c r="B51" s="157"/>
      <c r="C51" s="157"/>
      <c r="D51" s="157"/>
      <c r="E51" s="158">
        <f>E47+E48+E49+E50</f>
        <v>117568.3</v>
      </c>
      <c r="F51" s="159">
        <f>F47+F48+F49+F50</f>
        <v>370818.53</v>
      </c>
      <c r="G51" s="159">
        <f>G47+G48+G49+G50</f>
        <v>144515</v>
      </c>
      <c r="H51" s="159">
        <f>H47+H48+H49+H50</f>
        <v>343871.83</v>
      </c>
      <c r="I51" s="160">
        <f>I47+I48+I49+I50</f>
        <v>339917.22000000003</v>
      </c>
    </row>
    <row r="52" spans="1:9" ht="18.75" thickTop="1" x14ac:dyDescent="0.35">
      <c r="A52" s="161"/>
      <c r="B52" s="131"/>
      <c r="C52" s="131"/>
      <c r="D52" s="97"/>
      <c r="E52" s="97"/>
      <c r="F52" s="134"/>
      <c r="G52" s="135"/>
      <c r="H52" s="162"/>
      <c r="I52" s="162"/>
    </row>
    <row r="53" spans="1:9" ht="18" x14ac:dyDescent="0.35">
      <c r="A53" s="161"/>
      <c r="B53" s="131"/>
      <c r="C53" s="131"/>
      <c r="D53" s="97"/>
      <c r="E53" s="97"/>
      <c r="F53" s="134"/>
      <c r="G53" s="163"/>
      <c r="H53" s="164"/>
      <c r="I53" s="164"/>
    </row>
    <row r="54" spans="1:9" ht="18" x14ac:dyDescent="0.35">
      <c r="A54" s="165"/>
      <c r="B54" s="166"/>
      <c r="C54" s="166"/>
      <c r="D54" s="167"/>
      <c r="E54" s="167"/>
      <c r="F54" s="164"/>
      <c r="G54" s="164"/>
      <c r="H54" s="164"/>
      <c r="I54" s="164"/>
    </row>
  </sheetData>
  <mergeCells count="11">
    <mergeCell ref="F44:F45"/>
    <mergeCell ref="H12:I12"/>
    <mergeCell ref="A40:I40"/>
    <mergeCell ref="A31:I31"/>
    <mergeCell ref="E5:I5"/>
    <mergeCell ref="E7:I7"/>
    <mergeCell ref="A2:D2"/>
    <mergeCell ref="E2:I2"/>
    <mergeCell ref="E4:I4"/>
    <mergeCell ref="E3:I3"/>
    <mergeCell ref="H42:I4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1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8"/>
  <dimension ref="A1:J57"/>
  <sheetViews>
    <sheetView topLeftCell="A26" zoomScale="110" zoomScaleNormal="110" workbookViewId="0">
      <selection activeCell="J39" sqref="J39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7109375" style="72" customWidth="1"/>
    <col min="12" max="16384" width="9.140625" style="72"/>
  </cols>
  <sheetData>
    <row r="1" spans="1:9" ht="19.5" x14ac:dyDescent="0.4">
      <c r="A1" s="69" t="s">
        <v>26</v>
      </c>
      <c r="B1" s="70"/>
      <c r="C1" s="70"/>
      <c r="D1" s="70"/>
    </row>
    <row r="2" spans="1:9" ht="19.5" x14ac:dyDescent="0.4">
      <c r="A2" s="387" t="s">
        <v>114</v>
      </c>
      <c r="B2" s="387"/>
      <c r="C2" s="387"/>
      <c r="D2" s="387"/>
      <c r="E2" s="403" t="s">
        <v>231</v>
      </c>
      <c r="F2" s="403"/>
      <c r="G2" s="403"/>
      <c r="H2" s="403"/>
      <c r="I2" s="403"/>
    </row>
    <row r="3" spans="1:9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9" ht="15.75" x14ac:dyDescent="0.25">
      <c r="A4" s="75" t="s">
        <v>27</v>
      </c>
      <c r="E4" s="400" t="s">
        <v>232</v>
      </c>
      <c r="F4" s="400"/>
      <c r="G4" s="400"/>
      <c r="H4" s="400"/>
      <c r="I4" s="400"/>
    </row>
    <row r="5" spans="1:9" ht="9.75" customHeight="1" x14ac:dyDescent="0.25">
      <c r="A5" s="75"/>
      <c r="E5" s="390" t="s">
        <v>115</v>
      </c>
      <c r="F5" s="390"/>
      <c r="G5" s="390"/>
      <c r="H5" s="390"/>
      <c r="I5" s="390"/>
    </row>
    <row r="6" spans="1:9" ht="19.5" x14ac:dyDescent="0.4">
      <c r="A6" s="76" t="s">
        <v>24</v>
      </c>
      <c r="E6" s="77" t="s">
        <v>233</v>
      </c>
      <c r="F6" s="78"/>
      <c r="G6" s="79" t="s">
        <v>40</v>
      </c>
      <c r="H6" s="80">
        <v>1400</v>
      </c>
    </row>
    <row r="7" spans="1:9" ht="7.5" customHeight="1" x14ac:dyDescent="0.4">
      <c r="A7" s="76"/>
      <c r="E7" s="390" t="s">
        <v>116</v>
      </c>
      <c r="F7" s="390"/>
      <c r="G7" s="390"/>
      <c r="H7" s="390"/>
      <c r="I7" s="390"/>
    </row>
    <row r="8" spans="1:9" ht="2.25" customHeight="1" x14ac:dyDescent="0.4">
      <c r="A8" s="76"/>
      <c r="E8" s="81"/>
      <c r="F8" s="81"/>
      <c r="G8" s="81"/>
      <c r="H8" s="79"/>
      <c r="I8" s="81"/>
    </row>
    <row r="9" spans="1:9" ht="35.25" customHeight="1" x14ac:dyDescent="0.2">
      <c r="F9" s="82"/>
    </row>
    <row r="10" spans="1:9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9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9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9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9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9" ht="19.5" x14ac:dyDescent="0.4">
      <c r="A15" s="98" t="s">
        <v>3</v>
      </c>
      <c r="B15" s="93"/>
      <c r="C15" s="94"/>
      <c r="D15" s="95"/>
      <c r="E15" s="32">
        <v>5940</v>
      </c>
      <c r="F15" s="33">
        <v>17446</v>
      </c>
      <c r="G15" s="32">
        <f>H15+I15</f>
        <v>17124</v>
      </c>
      <c r="H15" s="34">
        <v>16884</v>
      </c>
      <c r="I15" s="34">
        <v>240</v>
      </c>
    </row>
    <row r="16" spans="1:9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5940</v>
      </c>
      <c r="F17" s="33">
        <v>17446</v>
      </c>
      <c r="G17" s="32">
        <f>H17+I17</f>
        <v>17318</v>
      </c>
      <c r="H17" s="34">
        <v>17029</v>
      </c>
      <c r="I17" s="34">
        <v>289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194</v>
      </c>
      <c r="H23" s="107">
        <f>H17-H15-H21</f>
        <v>145</v>
      </c>
      <c r="I23" s="107">
        <f>I17-I15-I21</f>
        <v>49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192974.35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80000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112974.35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s="172" customFormat="1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69" t="s">
        <v>39</v>
      </c>
      <c r="I36" s="127">
        <v>0</v>
      </c>
      <c r="J36" s="171"/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576.16700000000003</v>
      </c>
      <c r="G37" s="126">
        <v>577.00800000000004</v>
      </c>
      <c r="H37" s="110" t="s">
        <v>39</v>
      </c>
      <c r="I37" s="127">
        <f>G37/F37</f>
        <v>1.0014596462483967</v>
      </c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432</v>
      </c>
      <c r="G39" s="126">
        <v>432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397" t="s">
        <v>309</v>
      </c>
      <c r="B41" s="397"/>
      <c r="C41" s="397"/>
      <c r="D41" s="397"/>
      <c r="E41" s="397"/>
      <c r="F41" s="397"/>
      <c r="G41" s="397"/>
      <c r="H41" s="397"/>
      <c r="I41" s="397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0</v>
      </c>
      <c r="F48" s="147">
        <v>10000</v>
      </c>
      <c r="G48" s="148">
        <v>9100</v>
      </c>
      <c r="H48" s="148">
        <f>E48+F48-G48</f>
        <v>900</v>
      </c>
      <c r="I48" s="149">
        <v>900</v>
      </c>
    </row>
    <row r="49" spans="1:9" x14ac:dyDescent="0.2">
      <c r="A49" s="150"/>
      <c r="B49" s="151"/>
      <c r="C49" s="151" t="s">
        <v>8</v>
      </c>
      <c r="D49" s="151"/>
      <c r="E49" s="152">
        <v>7992.67</v>
      </c>
      <c r="F49" s="153">
        <v>160618</v>
      </c>
      <c r="G49" s="154">
        <v>165041</v>
      </c>
      <c r="H49" s="154">
        <f>E49+F49-G49</f>
        <v>3569.6700000000128</v>
      </c>
      <c r="I49" s="155">
        <v>2680.69</v>
      </c>
    </row>
    <row r="50" spans="1:9" x14ac:dyDescent="0.2">
      <c r="A50" s="150"/>
      <c r="B50" s="151"/>
      <c r="C50" s="151" t="s">
        <v>7</v>
      </c>
      <c r="D50" s="151"/>
      <c r="E50" s="152">
        <f>31107.81+203145.32</f>
        <v>234253.13</v>
      </c>
      <c r="F50" s="153">
        <f>106599.74+817247</f>
        <v>923846.74</v>
      </c>
      <c r="G50" s="173">
        <v>446181</v>
      </c>
      <c r="H50" s="154">
        <f>E50+F50-G50</f>
        <v>711918.87000000011</v>
      </c>
      <c r="I50" s="155">
        <f>685.75+574211.32</f>
        <v>574897.06999999995</v>
      </c>
    </row>
    <row r="51" spans="1:9" x14ac:dyDescent="0.2">
      <c r="A51" s="150"/>
      <c r="B51" s="151"/>
      <c r="C51" s="151" t="s">
        <v>15</v>
      </c>
      <c r="D51" s="151"/>
      <c r="E51" s="152">
        <v>216.6</v>
      </c>
      <c r="F51" s="153">
        <v>580286</v>
      </c>
      <c r="G51" s="154">
        <v>532617.80000000005</v>
      </c>
      <c r="H51" s="154">
        <f>E51+F51-G51</f>
        <v>47884.79999999993</v>
      </c>
      <c r="I51" s="155">
        <f>H51</f>
        <v>47884.79999999993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E48+E49+E50+E51</f>
        <v>242462.40000000002</v>
      </c>
      <c r="F52" s="159">
        <f>F48+F49+F50+F51</f>
        <v>1674750.74</v>
      </c>
      <c r="G52" s="159">
        <f>G48+G49+G50+G51</f>
        <v>1152939.8</v>
      </c>
      <c r="H52" s="159">
        <f>H48+H49+H50+H51</f>
        <v>764273.34000000008</v>
      </c>
      <c r="I52" s="160">
        <f>I48+I49+I50+I51</f>
        <v>626362.55999999982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74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1">
    <mergeCell ref="F45:F46"/>
    <mergeCell ref="H12:I12"/>
    <mergeCell ref="A41:I41"/>
    <mergeCell ref="A31:I33"/>
    <mergeCell ref="E5:I5"/>
    <mergeCell ref="E7:I7"/>
    <mergeCell ref="A2:D2"/>
    <mergeCell ref="E2:I2"/>
    <mergeCell ref="E4:I4"/>
    <mergeCell ref="E3:I3"/>
    <mergeCell ref="H43:I43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2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9"/>
  <dimension ref="A1:J57"/>
  <sheetViews>
    <sheetView tabSelected="1" topLeftCell="A16" zoomScale="110" zoomScaleNormal="110" workbookViewId="0">
      <selection activeCell="I36" sqref="I36"/>
    </sheetView>
  </sheetViews>
  <sheetFormatPr defaultRowHeight="12.75" x14ac:dyDescent="0.2"/>
  <cols>
    <col min="1" max="1" width="7.5703125" style="71" customWidth="1"/>
    <col min="2" max="2" width="2.5703125" style="71" customWidth="1"/>
    <col min="3" max="3" width="8.42578125" style="71" customWidth="1"/>
    <col min="4" max="4" width="8.28515625" style="71" customWidth="1"/>
    <col min="5" max="5" width="14.7109375" style="71" customWidth="1"/>
    <col min="6" max="6" width="15.5703125" style="71" customWidth="1"/>
    <col min="7" max="8" width="14.7109375" style="71" customWidth="1"/>
    <col min="9" max="9" width="15.28515625" style="71" customWidth="1"/>
    <col min="10" max="10" width="18.85546875" style="72" customWidth="1"/>
    <col min="11" max="11" width="17.28515625" style="72" customWidth="1"/>
    <col min="12" max="16384" width="9.140625" style="72"/>
  </cols>
  <sheetData>
    <row r="1" spans="1:10" ht="19.5" x14ac:dyDescent="0.4">
      <c r="A1" s="69" t="s">
        <v>26</v>
      </c>
      <c r="B1" s="70"/>
      <c r="C1" s="70"/>
      <c r="D1" s="70"/>
    </row>
    <row r="2" spans="1:10" ht="19.5" x14ac:dyDescent="0.4">
      <c r="A2" s="387" t="s">
        <v>114</v>
      </c>
      <c r="B2" s="387"/>
      <c r="C2" s="387"/>
      <c r="D2" s="387"/>
      <c r="E2" s="403" t="s">
        <v>290</v>
      </c>
      <c r="F2" s="403"/>
      <c r="G2" s="403"/>
      <c r="H2" s="403"/>
      <c r="I2" s="403"/>
      <c r="J2" s="74"/>
    </row>
    <row r="3" spans="1:10" ht="9.75" customHeight="1" x14ac:dyDescent="0.4">
      <c r="A3" s="73"/>
      <c r="B3" s="73"/>
      <c r="C3" s="73"/>
      <c r="D3" s="73"/>
      <c r="E3" s="390" t="s">
        <v>115</v>
      </c>
      <c r="F3" s="390"/>
      <c r="G3" s="390"/>
      <c r="H3" s="390"/>
      <c r="I3" s="390"/>
    </row>
    <row r="4" spans="1:10" ht="15.75" x14ac:dyDescent="0.25">
      <c r="A4" s="75" t="s">
        <v>27</v>
      </c>
      <c r="E4" s="400" t="s">
        <v>234</v>
      </c>
      <c r="F4" s="400"/>
      <c r="G4" s="400"/>
      <c r="H4" s="400"/>
      <c r="I4" s="400"/>
    </row>
    <row r="5" spans="1:10" ht="9.75" customHeight="1" x14ac:dyDescent="0.25">
      <c r="A5" s="75"/>
      <c r="E5" s="390" t="s">
        <v>115</v>
      </c>
      <c r="F5" s="390"/>
      <c r="G5" s="390"/>
      <c r="H5" s="390"/>
      <c r="I5" s="390"/>
    </row>
    <row r="6" spans="1:10" ht="19.5" x14ac:dyDescent="0.4">
      <c r="A6" s="76" t="s">
        <v>24</v>
      </c>
      <c r="E6" s="77" t="s">
        <v>235</v>
      </c>
      <c r="F6" s="78"/>
      <c r="G6" s="79" t="s">
        <v>40</v>
      </c>
      <c r="H6" s="80">
        <v>1450</v>
      </c>
    </row>
    <row r="7" spans="1:10" ht="7.5" customHeight="1" x14ac:dyDescent="0.4">
      <c r="A7" s="76"/>
      <c r="E7" s="390" t="s">
        <v>116</v>
      </c>
      <c r="F7" s="390"/>
      <c r="G7" s="390"/>
      <c r="H7" s="390"/>
      <c r="I7" s="390"/>
    </row>
    <row r="8" spans="1:10" ht="3.75" customHeight="1" x14ac:dyDescent="0.4">
      <c r="A8" s="76"/>
      <c r="E8" s="81"/>
      <c r="F8" s="81"/>
      <c r="G8" s="81"/>
      <c r="H8" s="79"/>
      <c r="I8" s="81"/>
    </row>
    <row r="9" spans="1:10" ht="36" customHeight="1" x14ac:dyDescent="0.2">
      <c r="F9" s="82"/>
    </row>
    <row r="10" spans="1:10" ht="18.75" x14ac:dyDescent="0.4">
      <c r="A10" s="83"/>
      <c r="B10" s="84"/>
      <c r="C10" s="84"/>
      <c r="D10" s="84"/>
      <c r="E10" s="85" t="s">
        <v>19</v>
      </c>
      <c r="F10" s="85" t="s">
        <v>22</v>
      </c>
      <c r="G10" s="86" t="s">
        <v>0</v>
      </c>
      <c r="H10" s="87" t="s">
        <v>17</v>
      </c>
      <c r="I10" s="87"/>
    </row>
    <row r="11" spans="1:10" ht="18.75" x14ac:dyDescent="0.4">
      <c r="A11" s="88"/>
      <c r="B11" s="88"/>
      <c r="C11" s="88"/>
      <c r="D11" s="88"/>
      <c r="E11" s="85" t="s">
        <v>20</v>
      </c>
      <c r="F11" s="85" t="s">
        <v>20</v>
      </c>
      <c r="G11" s="86" t="s">
        <v>18</v>
      </c>
      <c r="H11" s="89" t="s">
        <v>1</v>
      </c>
      <c r="I11" s="90" t="s">
        <v>16</v>
      </c>
    </row>
    <row r="12" spans="1:10" ht="15" x14ac:dyDescent="0.2">
      <c r="A12" s="88"/>
      <c r="B12" s="88"/>
      <c r="C12" s="88"/>
      <c r="D12" s="88"/>
      <c r="E12" s="85" t="s">
        <v>2</v>
      </c>
      <c r="F12" s="85" t="s">
        <v>2</v>
      </c>
      <c r="G12" s="91"/>
      <c r="H12" s="393" t="s">
        <v>28</v>
      </c>
      <c r="I12" s="394"/>
    </row>
    <row r="13" spans="1:10" ht="15" x14ac:dyDescent="0.2">
      <c r="A13" s="88"/>
      <c r="B13" s="88"/>
      <c r="C13" s="88"/>
      <c r="D13" s="88"/>
      <c r="E13" s="85"/>
      <c r="F13" s="85"/>
      <c r="G13" s="91"/>
      <c r="H13" s="31"/>
      <c r="I13" s="92"/>
    </row>
    <row r="14" spans="1:10" ht="18.75" x14ac:dyDescent="0.4">
      <c r="A14" s="93" t="s">
        <v>21</v>
      </c>
      <c r="B14" s="93"/>
      <c r="C14" s="94"/>
      <c r="D14" s="95"/>
      <c r="E14" s="96"/>
      <c r="F14" s="96"/>
      <c r="G14" s="97"/>
      <c r="H14" s="88"/>
      <c r="I14" s="88"/>
    </row>
    <row r="15" spans="1:10" ht="19.5" x14ac:dyDescent="0.4">
      <c r="A15" s="98" t="s">
        <v>3</v>
      </c>
      <c r="B15" s="93"/>
      <c r="C15" s="94"/>
      <c r="D15" s="95"/>
      <c r="E15" s="32">
        <v>3196</v>
      </c>
      <c r="F15" s="33">
        <v>27218</v>
      </c>
      <c r="G15" s="32">
        <f>H15+I15</f>
        <v>27254</v>
      </c>
      <c r="H15" s="34">
        <v>27254</v>
      </c>
      <c r="I15" s="34">
        <v>0</v>
      </c>
    </row>
    <row r="16" spans="1:10" ht="16.5" x14ac:dyDescent="0.35">
      <c r="A16" s="2"/>
      <c r="B16" s="84"/>
      <c r="C16" s="84"/>
      <c r="D16" s="84"/>
      <c r="E16" s="99"/>
      <c r="F16" s="99"/>
      <c r="G16" s="99"/>
      <c r="H16" s="99"/>
      <c r="I16" s="99"/>
    </row>
    <row r="17" spans="1:9" ht="19.5" x14ac:dyDescent="0.4">
      <c r="A17" s="98" t="s">
        <v>4</v>
      </c>
      <c r="B17" s="3"/>
      <c r="C17" s="3"/>
      <c r="D17" s="3"/>
      <c r="E17" s="32">
        <v>3196</v>
      </c>
      <c r="F17" s="33">
        <v>27218</v>
      </c>
      <c r="G17" s="32">
        <f>H17+I17</f>
        <v>27427</v>
      </c>
      <c r="H17" s="34">
        <v>27427</v>
      </c>
      <c r="I17" s="34">
        <v>0</v>
      </c>
    </row>
    <row r="18" spans="1:9" ht="18" x14ac:dyDescent="0.35">
      <c r="A18" s="2"/>
      <c r="B18" s="3"/>
      <c r="C18" s="3"/>
      <c r="D18" s="3"/>
      <c r="E18" s="32"/>
      <c r="F18" s="33"/>
      <c r="G18" s="32"/>
      <c r="H18" s="34"/>
      <c r="I18" s="34"/>
    </row>
    <row r="19" spans="1:9" ht="18" x14ac:dyDescent="0.35">
      <c r="A19" s="2"/>
      <c r="B19" s="3"/>
      <c r="C19" s="3"/>
      <c r="D19" s="3"/>
      <c r="E19" s="100"/>
      <c r="F19" s="100"/>
      <c r="G19" s="101"/>
      <c r="H19" s="1"/>
      <c r="I19" s="1"/>
    </row>
    <row r="20" spans="1:9" ht="19.5" x14ac:dyDescent="0.4">
      <c r="A20" s="102" t="s">
        <v>14</v>
      </c>
      <c r="B20" s="100"/>
      <c r="C20" s="100"/>
      <c r="D20" s="100"/>
      <c r="E20" s="100"/>
      <c r="F20" s="100"/>
      <c r="G20" s="103"/>
      <c r="H20" s="101"/>
      <c r="I20" s="101"/>
    </row>
    <row r="21" spans="1:9" ht="18" x14ac:dyDescent="0.35">
      <c r="A21" s="100"/>
      <c r="B21" s="100"/>
      <c r="C21" s="104" t="s">
        <v>117</v>
      </c>
      <c r="D21" s="100"/>
      <c r="E21" s="100"/>
      <c r="F21" s="100"/>
      <c r="G21" s="35">
        <f>H21+I21</f>
        <v>0</v>
      </c>
      <c r="H21" s="36">
        <v>0</v>
      </c>
      <c r="I21" s="36">
        <v>0</v>
      </c>
    </row>
    <row r="22" spans="1:9" ht="18" x14ac:dyDescent="0.35">
      <c r="A22" s="100"/>
      <c r="B22" s="100"/>
      <c r="C22" s="104"/>
      <c r="D22" s="100"/>
      <c r="E22" s="100"/>
      <c r="F22" s="100"/>
      <c r="G22" s="35"/>
      <c r="H22" s="36"/>
      <c r="I22" s="36"/>
    </row>
    <row r="23" spans="1:9" ht="22.5" x14ac:dyDescent="0.45">
      <c r="A23" s="105" t="s">
        <v>118</v>
      </c>
      <c r="B23" s="105"/>
      <c r="C23" s="106"/>
      <c r="D23" s="105"/>
      <c r="E23" s="105"/>
      <c r="F23" s="105"/>
      <c r="G23" s="107">
        <f>G17-G15-G21</f>
        <v>173</v>
      </c>
      <c r="H23" s="107">
        <f>H17-H15-H21</f>
        <v>173</v>
      </c>
      <c r="I23" s="107">
        <f>I17-I15-I21</f>
        <v>0</v>
      </c>
    </row>
    <row r="25" spans="1:9" x14ac:dyDescent="0.2">
      <c r="H25" s="108"/>
    </row>
    <row r="27" spans="1:9" ht="19.5" x14ac:dyDescent="0.4">
      <c r="A27" s="93" t="s">
        <v>5</v>
      </c>
      <c r="B27" s="93" t="s">
        <v>119</v>
      </c>
      <c r="C27" s="93"/>
      <c r="D27" s="3"/>
      <c r="E27" s="3"/>
      <c r="F27" s="88"/>
      <c r="G27" s="109">
        <f>SUM(G28:G30)</f>
        <v>172654.21</v>
      </c>
      <c r="H27" s="110" t="s">
        <v>120</v>
      </c>
      <c r="I27" s="111"/>
    </row>
    <row r="28" spans="1:9" ht="18.75" x14ac:dyDescent="0.4">
      <c r="A28" s="112"/>
      <c r="B28" s="112"/>
      <c r="C28" s="113" t="s">
        <v>29</v>
      </c>
      <c r="D28" s="114"/>
      <c r="E28" s="115"/>
      <c r="F28" s="108" t="s">
        <v>6</v>
      </c>
      <c r="G28" s="36">
        <v>1000</v>
      </c>
      <c r="H28" s="110" t="s">
        <v>120</v>
      </c>
      <c r="I28" s="111"/>
    </row>
    <row r="29" spans="1:9" ht="18.75" x14ac:dyDescent="0.4">
      <c r="A29" s="112"/>
      <c r="B29" s="112"/>
      <c r="C29" s="113"/>
      <c r="D29" s="114"/>
      <c r="E29" s="115"/>
      <c r="F29" s="108" t="s">
        <v>7</v>
      </c>
      <c r="G29" s="36">
        <v>171654.21</v>
      </c>
      <c r="H29" s="110" t="s">
        <v>120</v>
      </c>
      <c r="I29" s="111"/>
    </row>
    <row r="30" spans="1:9" ht="18.75" x14ac:dyDescent="0.4">
      <c r="A30" s="112"/>
      <c r="B30" s="112"/>
      <c r="C30" s="113" t="s">
        <v>30</v>
      </c>
      <c r="D30" s="114"/>
      <c r="E30" s="115"/>
      <c r="F30" s="108" t="s">
        <v>239</v>
      </c>
      <c r="G30" s="116">
        <v>0</v>
      </c>
      <c r="H30" s="117" t="s">
        <v>120</v>
      </c>
      <c r="I30" s="111"/>
    </row>
    <row r="31" spans="1:9" x14ac:dyDescent="0.2">
      <c r="A31" s="398"/>
      <c r="B31" s="399"/>
      <c r="C31" s="399"/>
      <c r="D31" s="399"/>
      <c r="E31" s="399"/>
      <c r="F31" s="399"/>
      <c r="G31" s="399"/>
      <c r="H31" s="399"/>
      <c r="I31" s="399"/>
    </row>
    <row r="32" spans="1:9" x14ac:dyDescent="0.2">
      <c r="A32" s="399"/>
      <c r="B32" s="399"/>
      <c r="C32" s="399"/>
      <c r="D32" s="399"/>
      <c r="E32" s="399"/>
      <c r="F32" s="399"/>
      <c r="G32" s="399"/>
      <c r="H32" s="399"/>
      <c r="I32" s="399"/>
    </row>
    <row r="33" spans="1:10" x14ac:dyDescent="0.2">
      <c r="A33" s="399"/>
      <c r="B33" s="399"/>
      <c r="C33" s="399"/>
      <c r="D33" s="399"/>
      <c r="E33" s="399"/>
      <c r="F33" s="399"/>
      <c r="G33" s="399"/>
      <c r="H33" s="399"/>
      <c r="I33" s="399"/>
    </row>
    <row r="34" spans="1:10" ht="19.5" x14ac:dyDescent="0.4">
      <c r="A34" s="93" t="s">
        <v>31</v>
      </c>
      <c r="B34" s="93" t="s">
        <v>32</v>
      </c>
      <c r="C34" s="93"/>
      <c r="D34" s="119"/>
      <c r="E34" s="97"/>
      <c r="F34" s="3"/>
      <c r="G34" s="120"/>
      <c r="H34" s="111"/>
      <c r="I34" s="111"/>
    </row>
    <row r="35" spans="1:10" ht="18.75" x14ac:dyDescent="0.4">
      <c r="A35" s="93"/>
      <c r="B35" s="93"/>
      <c r="C35" s="93"/>
      <c r="D35" s="119"/>
      <c r="F35" s="121" t="s">
        <v>121</v>
      </c>
      <c r="G35" s="122" t="s">
        <v>0</v>
      </c>
      <c r="H35" s="88"/>
      <c r="I35" s="123" t="s">
        <v>122</v>
      </c>
    </row>
    <row r="36" spans="1:10" ht="16.5" x14ac:dyDescent="0.35">
      <c r="A36" s="124" t="s">
        <v>33</v>
      </c>
      <c r="B36" s="125"/>
      <c r="C36" s="2"/>
      <c r="D36" s="125"/>
      <c r="E36" s="97"/>
      <c r="F36" s="126">
        <v>0</v>
      </c>
      <c r="G36" s="126">
        <v>0</v>
      </c>
      <c r="H36" s="110" t="s">
        <v>39</v>
      </c>
      <c r="I36" s="127">
        <v>0</v>
      </c>
    </row>
    <row r="37" spans="1:10" ht="16.5" x14ac:dyDescent="0.35">
      <c r="A37" s="124" t="s">
        <v>123</v>
      </c>
      <c r="B37" s="125"/>
      <c r="C37" s="2"/>
      <c r="D37" s="128"/>
      <c r="E37" s="128"/>
      <c r="F37" s="126">
        <v>94.251999999999995</v>
      </c>
      <c r="G37" s="126">
        <v>94.251999999999995</v>
      </c>
      <c r="H37" s="110" t="s">
        <v>39</v>
      </c>
      <c r="I37" s="127">
        <f>G37/F37</f>
        <v>1</v>
      </c>
      <c r="J37" s="129"/>
    </row>
    <row r="38" spans="1:10" ht="16.5" x14ac:dyDescent="0.35">
      <c r="A38" s="124" t="s">
        <v>124</v>
      </c>
      <c r="B38" s="125"/>
      <c r="C38" s="2"/>
      <c r="D38" s="128"/>
      <c r="E38" s="128"/>
      <c r="F38" s="126">
        <v>0</v>
      </c>
      <c r="G38" s="126">
        <v>0</v>
      </c>
      <c r="H38" s="110" t="s">
        <v>39</v>
      </c>
      <c r="I38" s="130" t="s">
        <v>241</v>
      </c>
    </row>
    <row r="39" spans="1:10" ht="16.5" x14ac:dyDescent="0.35">
      <c r="A39" s="124" t="s">
        <v>236</v>
      </c>
      <c r="B39" s="125"/>
      <c r="C39" s="2"/>
      <c r="D39" s="97"/>
      <c r="E39" s="97"/>
      <c r="F39" s="126">
        <v>71</v>
      </c>
      <c r="G39" s="126">
        <v>71</v>
      </c>
      <c r="H39" s="110" t="s">
        <v>39</v>
      </c>
      <c r="I39" s="127">
        <f>G39/F39</f>
        <v>1</v>
      </c>
    </row>
    <row r="40" spans="1:10" ht="18" x14ac:dyDescent="0.35">
      <c r="A40" s="124" t="s">
        <v>237</v>
      </c>
      <c r="B40" s="131"/>
      <c r="C40" s="131"/>
      <c r="D40" s="97"/>
      <c r="E40" s="97"/>
      <c r="F40" s="132">
        <v>0</v>
      </c>
      <c r="G40" s="126">
        <v>0</v>
      </c>
      <c r="H40" s="110" t="s">
        <v>39</v>
      </c>
      <c r="I40" s="130" t="s">
        <v>241</v>
      </c>
    </row>
    <row r="41" spans="1:10" x14ac:dyDescent="0.2">
      <c r="A41" s="133"/>
      <c r="B41" s="133"/>
      <c r="C41" s="133"/>
      <c r="D41" s="133"/>
      <c r="E41" s="133"/>
      <c r="F41" s="133"/>
      <c r="G41" s="133"/>
      <c r="H41" s="133"/>
      <c r="I41" s="133"/>
      <c r="J41" s="74"/>
    </row>
    <row r="42" spans="1:10" ht="18" x14ac:dyDescent="0.35">
      <c r="A42" s="124"/>
      <c r="B42" s="131"/>
      <c r="C42" s="131"/>
      <c r="D42" s="97"/>
      <c r="E42" s="97"/>
      <c r="F42" s="132"/>
      <c r="G42" s="126"/>
      <c r="H42" s="110"/>
      <c r="I42" s="127"/>
    </row>
    <row r="43" spans="1:10" ht="19.5" thickBot="1" x14ac:dyDescent="0.45">
      <c r="A43" s="93" t="s">
        <v>11</v>
      </c>
      <c r="B43" s="93" t="s">
        <v>12</v>
      </c>
      <c r="C43" s="95"/>
      <c r="D43" s="97"/>
      <c r="E43" s="97"/>
      <c r="F43" s="134"/>
      <c r="G43" s="135"/>
      <c r="H43" s="393" t="s">
        <v>125</v>
      </c>
      <c r="I43" s="394"/>
    </row>
    <row r="44" spans="1:10" ht="18.75" thickTop="1" x14ac:dyDescent="0.35">
      <c r="A44" s="136"/>
      <c r="B44" s="137"/>
      <c r="C44" s="138"/>
      <c r="D44" s="137"/>
      <c r="E44" s="293" t="s">
        <v>291</v>
      </c>
      <c r="F44" s="294" t="s">
        <v>9</v>
      </c>
      <c r="G44" s="294" t="s">
        <v>10</v>
      </c>
      <c r="H44" s="301" t="s">
        <v>13</v>
      </c>
      <c r="I44" s="302" t="s">
        <v>126</v>
      </c>
    </row>
    <row r="45" spans="1:10" x14ac:dyDescent="0.2">
      <c r="A45" s="139"/>
      <c r="B45" s="134"/>
      <c r="C45" s="134"/>
      <c r="D45" s="134"/>
      <c r="E45" s="295"/>
      <c r="F45" s="392"/>
      <c r="G45" s="296"/>
      <c r="H45" s="303">
        <v>40543</v>
      </c>
      <c r="I45" s="304">
        <v>40543</v>
      </c>
    </row>
    <row r="46" spans="1:10" x14ac:dyDescent="0.2">
      <c r="A46" s="139"/>
      <c r="B46" s="134"/>
      <c r="C46" s="134"/>
      <c r="D46" s="134"/>
      <c r="E46" s="295"/>
      <c r="F46" s="392"/>
      <c r="G46" s="297"/>
      <c r="H46" s="297"/>
      <c r="I46" s="298"/>
    </row>
    <row r="47" spans="1:10" ht="13.5" thickBot="1" x14ac:dyDescent="0.25">
      <c r="A47" s="140"/>
      <c r="B47" s="141"/>
      <c r="C47" s="141"/>
      <c r="D47" s="141"/>
      <c r="E47" s="140"/>
      <c r="F47" s="142"/>
      <c r="G47" s="142"/>
      <c r="H47" s="142"/>
      <c r="I47" s="143"/>
    </row>
    <row r="48" spans="1:10" ht="13.5" thickTop="1" x14ac:dyDescent="0.2">
      <c r="A48" s="144"/>
      <c r="B48" s="145"/>
      <c r="C48" s="145" t="s">
        <v>6</v>
      </c>
      <c r="D48" s="145"/>
      <c r="E48" s="146">
        <v>144325</v>
      </c>
      <c r="F48" s="147">
        <v>20000</v>
      </c>
      <c r="G48" s="148">
        <v>0</v>
      </c>
      <c r="H48" s="148">
        <f>E48+F48-G48</f>
        <v>164325</v>
      </c>
      <c r="I48" s="149">
        <v>90398</v>
      </c>
    </row>
    <row r="49" spans="1:9" x14ac:dyDescent="0.2">
      <c r="A49" s="150"/>
      <c r="B49" s="151"/>
      <c r="C49" s="151" t="s">
        <v>8</v>
      </c>
      <c r="D49" s="151"/>
      <c r="E49" s="152">
        <v>172247.47</v>
      </c>
      <c r="F49" s="153">
        <v>331895</v>
      </c>
      <c r="G49" s="154">
        <v>389802</v>
      </c>
      <c r="H49" s="154">
        <f>E49+F49-G49</f>
        <v>114340.46999999997</v>
      </c>
      <c r="I49" s="155">
        <v>129842.93</v>
      </c>
    </row>
    <row r="50" spans="1:9" x14ac:dyDescent="0.2">
      <c r="A50" s="150"/>
      <c r="B50" s="151"/>
      <c r="C50" s="151" t="s">
        <v>7</v>
      </c>
      <c r="D50" s="151"/>
      <c r="E50" s="152">
        <v>440565.89</v>
      </c>
      <c r="F50" s="153">
        <v>165085.32</v>
      </c>
      <c r="G50" s="154">
        <v>239124</v>
      </c>
      <c r="H50" s="154">
        <f>E50+F50-G50</f>
        <v>366527.20999999996</v>
      </c>
      <c r="I50" s="155">
        <v>334453.17</v>
      </c>
    </row>
    <row r="51" spans="1:9" x14ac:dyDescent="0.2">
      <c r="A51" s="150"/>
      <c r="B51" s="151"/>
      <c r="C51" s="151" t="s">
        <v>15</v>
      </c>
      <c r="D51" s="151"/>
      <c r="E51" s="152">
        <v>890070.32</v>
      </c>
      <c r="F51" s="153">
        <v>94252</v>
      </c>
      <c r="G51" s="154">
        <v>71000</v>
      </c>
      <c r="H51" s="154">
        <f>E51+F51-G51</f>
        <v>913322.32</v>
      </c>
      <c r="I51" s="155">
        <v>269447.28999999998</v>
      </c>
    </row>
    <row r="52" spans="1:9" ht="18.75" thickBot="1" x14ac:dyDescent="0.4">
      <c r="A52" s="156" t="s">
        <v>2</v>
      </c>
      <c r="B52" s="157"/>
      <c r="C52" s="157"/>
      <c r="D52" s="157"/>
      <c r="E52" s="158">
        <f>SUM(E48:E51)</f>
        <v>1647208.68</v>
      </c>
      <c r="F52" s="159">
        <f>F48+F49+F50+F51</f>
        <v>611232.32000000007</v>
      </c>
      <c r="G52" s="159">
        <f>G48+G49+G50+G51</f>
        <v>699926</v>
      </c>
      <c r="H52" s="159">
        <f>H48+H49+H50+H51</f>
        <v>1558515</v>
      </c>
      <c r="I52" s="160">
        <f>I48+I49+I50+I51</f>
        <v>824141.3899999999</v>
      </c>
    </row>
    <row r="53" spans="1:9" ht="18.75" thickTop="1" x14ac:dyDescent="0.35">
      <c r="A53" s="161"/>
      <c r="B53" s="131"/>
      <c r="C53" s="131"/>
      <c r="D53" s="97"/>
      <c r="E53" s="97"/>
      <c r="F53" s="134"/>
      <c r="G53" s="135"/>
      <c r="H53" s="162"/>
      <c r="I53" s="162"/>
    </row>
    <row r="54" spans="1:9" ht="18" x14ac:dyDescent="0.35">
      <c r="A54" s="161"/>
      <c r="B54" s="131"/>
      <c r="C54" s="131"/>
      <c r="D54" s="97"/>
      <c r="E54" s="97"/>
      <c r="F54" s="134"/>
      <c r="G54" s="163"/>
      <c r="H54" s="164"/>
      <c r="I54" s="164"/>
    </row>
    <row r="55" spans="1:9" ht="18" x14ac:dyDescent="0.35">
      <c r="A55" s="165"/>
      <c r="B55" s="166"/>
      <c r="C55" s="166"/>
      <c r="D55" s="167"/>
      <c r="E55" s="167"/>
      <c r="F55" s="164"/>
      <c r="G55" s="164"/>
      <c r="H55" s="164"/>
      <c r="I55" s="164"/>
    </row>
    <row r="56" spans="1:9" x14ac:dyDescent="0.2">
      <c r="A56" s="168"/>
      <c r="B56" s="168"/>
      <c r="C56" s="168"/>
      <c r="D56" s="168"/>
      <c r="E56" s="168"/>
      <c r="F56" s="168"/>
      <c r="G56" s="168"/>
      <c r="H56" s="168"/>
      <c r="I56" s="168"/>
    </row>
    <row r="57" spans="1:9" x14ac:dyDescent="0.2">
      <c r="A57" s="168"/>
      <c r="B57" s="168"/>
      <c r="C57" s="168"/>
      <c r="D57" s="168"/>
      <c r="E57" s="168"/>
      <c r="F57" s="168"/>
      <c r="G57" s="168"/>
      <c r="H57" s="168"/>
      <c r="I57" s="168"/>
    </row>
  </sheetData>
  <mergeCells count="10">
    <mergeCell ref="A2:D2"/>
    <mergeCell ref="E4:I4"/>
    <mergeCell ref="E2:I2"/>
    <mergeCell ref="E3:I3"/>
    <mergeCell ref="F45:F46"/>
    <mergeCell ref="E5:I5"/>
    <mergeCell ref="E7:I7"/>
    <mergeCell ref="A31:I33"/>
    <mergeCell ref="H43:I43"/>
    <mergeCell ref="H12:I12"/>
  </mergeCells>
  <phoneticPr fontId="10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3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45</vt:i4>
      </vt:variant>
      <vt:variant>
        <vt:lpstr>Pojmenované oblasti</vt:lpstr>
      </vt:variant>
      <vt:variant>
        <vt:i4>23</vt:i4>
      </vt:variant>
    </vt:vector>
  </HeadingPairs>
  <TitlesOfParts>
    <vt:vector size="68" baseType="lpstr">
      <vt:lpstr>Rekapitulace </vt:lpstr>
      <vt:lpstr>1000</vt:lpstr>
      <vt:lpstr>1001</vt:lpstr>
      <vt:lpstr>1010</vt:lpstr>
      <vt:lpstr>1012</vt:lpstr>
      <vt:lpstr>1013</vt:lpstr>
      <vt:lpstr>1014</vt:lpstr>
      <vt:lpstr>1015</vt:lpstr>
      <vt:lpstr>1032</vt:lpstr>
      <vt:lpstr>1033</vt:lpstr>
      <vt:lpstr>1034</vt:lpstr>
      <vt:lpstr>1044</vt:lpstr>
      <vt:lpstr>1100</vt:lpstr>
      <vt:lpstr>1101</vt:lpstr>
      <vt:lpstr>1102</vt:lpstr>
      <vt:lpstr>1103</vt:lpstr>
      <vt:lpstr>1104</vt:lpstr>
      <vt:lpstr>1105</vt:lpstr>
      <vt:lpstr>1120</vt:lpstr>
      <vt:lpstr>1121</vt:lpstr>
      <vt:lpstr>1122</vt:lpstr>
      <vt:lpstr>1123</vt:lpstr>
      <vt:lpstr>1124</vt:lpstr>
      <vt:lpstr>1150</vt:lpstr>
      <vt:lpstr>1160</vt:lpstr>
      <vt:lpstr>1170</vt:lpstr>
      <vt:lpstr>1200</vt:lpstr>
      <vt:lpstr>1201</vt:lpstr>
      <vt:lpstr>1202</vt:lpstr>
      <vt:lpstr>1204</vt:lpstr>
      <vt:lpstr>1205</vt:lpstr>
      <vt:lpstr>1206</vt:lpstr>
      <vt:lpstr>1207</vt:lpstr>
      <vt:lpstr>1208</vt:lpstr>
      <vt:lpstr>1300</vt:lpstr>
      <vt:lpstr>1301</vt:lpstr>
      <vt:lpstr>1302</vt:lpstr>
      <vt:lpstr>1303</vt:lpstr>
      <vt:lpstr>1304</vt:lpstr>
      <vt:lpstr>1316</vt:lpstr>
      <vt:lpstr>1350</vt:lpstr>
      <vt:lpstr>1351</vt:lpstr>
      <vt:lpstr>1352</vt:lpstr>
      <vt:lpstr>1400</vt:lpstr>
      <vt:lpstr>1450</vt:lpstr>
      <vt:lpstr>'Rekapitulace '!Názvy_tisku</vt:lpstr>
      <vt:lpstr>'1010'!Oblast_tisku</vt:lpstr>
      <vt:lpstr>'1012'!Oblast_tisku</vt:lpstr>
      <vt:lpstr>'1014'!Oblast_tisku</vt:lpstr>
      <vt:lpstr>'1100'!Oblast_tisku</vt:lpstr>
      <vt:lpstr>'1101'!Oblast_tisku</vt:lpstr>
      <vt:lpstr>'1103'!Oblast_tisku</vt:lpstr>
      <vt:lpstr>'1104'!Oblast_tisku</vt:lpstr>
      <vt:lpstr>'1121'!Oblast_tisku</vt:lpstr>
      <vt:lpstr>'1122'!Oblast_tisku</vt:lpstr>
      <vt:lpstr>'1150'!Oblast_tisku</vt:lpstr>
      <vt:lpstr>'1170'!Oblast_tisku</vt:lpstr>
      <vt:lpstr>'1202'!Oblast_tisku</vt:lpstr>
      <vt:lpstr>'1204'!Oblast_tisku</vt:lpstr>
      <vt:lpstr>'1205'!Oblast_tisku</vt:lpstr>
      <vt:lpstr>'1206'!Oblast_tisku</vt:lpstr>
      <vt:lpstr>'1207'!Oblast_tisku</vt:lpstr>
      <vt:lpstr>'1300'!Oblast_tisku</vt:lpstr>
      <vt:lpstr>'1350'!Oblast_tisku</vt:lpstr>
      <vt:lpstr>'1352'!Oblast_tisku</vt:lpstr>
      <vt:lpstr>'1400'!Oblast_tisku</vt:lpstr>
      <vt:lpstr>'1450'!Oblast_tisku</vt:lpstr>
      <vt:lpstr>'Rekapitulace '!Oblast_tisku</vt:lpstr>
    </vt:vector>
  </TitlesOfParts>
  <Company>Krajský úřad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2011-05-30T12:27:56Z</cp:lastPrinted>
  <dcterms:created xsi:type="dcterms:W3CDTF">2002-03-27T12:20:37Z</dcterms:created>
  <dcterms:modified xsi:type="dcterms:W3CDTF">2011-06-08T07:54:55Z</dcterms:modified>
</cp:coreProperties>
</file>