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0" windowWidth="9720" windowHeight="6690" tabRatio="609"/>
  </bookViews>
  <sheets>
    <sheet name="Rekap " sheetId="11" r:id="rId1"/>
    <sheet name="Příjmy" sheetId="13" r:id="rId2"/>
    <sheet name="List1" sheetId="14" state="hidden" r:id="rId3"/>
  </sheets>
  <definedNames>
    <definedName name="_xlnm._FilterDatabase" localSheetId="1" hidden="1">Příjmy!$C$1:$C$390</definedName>
    <definedName name="_xlnm.Print_Titles" localSheetId="0">'Rekap '!$4:$5</definedName>
    <definedName name="_xlnm.Print_Area" localSheetId="1">Příjmy!$A$1:$I$368</definedName>
    <definedName name="_xlnm.Print_Area" localSheetId="0">'Rekap '!$A$1:$E$39</definedName>
  </definedNames>
  <calcPr calcId="145621"/>
</workbook>
</file>

<file path=xl/calcChain.xml><?xml version="1.0" encoding="utf-8"?>
<calcChain xmlns="http://schemas.openxmlformats.org/spreadsheetml/2006/main">
  <c r="I11" i="11" l="1"/>
  <c r="J11" i="11"/>
  <c r="H11" i="11"/>
  <c r="I10" i="11"/>
  <c r="I14" i="11" s="1"/>
  <c r="J10" i="11"/>
  <c r="J14" i="11" s="1"/>
  <c r="H10" i="11"/>
  <c r="H14" i="11" s="1"/>
  <c r="L375" i="13"/>
  <c r="M375" i="13"/>
  <c r="K375" i="13"/>
  <c r="L374" i="13"/>
  <c r="M374" i="13"/>
  <c r="K374" i="13"/>
  <c r="L373" i="13"/>
  <c r="M373" i="13"/>
  <c r="K373" i="13"/>
  <c r="I13" i="11"/>
  <c r="J13" i="11"/>
  <c r="H13" i="11"/>
  <c r="I12" i="11"/>
  <c r="J12" i="11"/>
  <c r="H12" i="11"/>
  <c r="I36" i="13"/>
  <c r="I35" i="13"/>
  <c r="I34" i="13"/>
  <c r="I33" i="13"/>
  <c r="I32" i="13"/>
  <c r="I31" i="13"/>
  <c r="I29" i="13"/>
  <c r="I28" i="13"/>
  <c r="I27" i="13"/>
  <c r="I26" i="13"/>
  <c r="I22" i="13"/>
  <c r="I21" i="13"/>
  <c r="I19" i="13"/>
  <c r="I16" i="13"/>
  <c r="I15" i="13"/>
  <c r="F360" i="13"/>
  <c r="F362" i="13"/>
  <c r="H361" i="13"/>
  <c r="I14" i="13" l="1"/>
  <c r="J29" i="11" l="1"/>
  <c r="I29" i="11"/>
  <c r="H29" i="11"/>
  <c r="J27" i="11"/>
  <c r="I27" i="11"/>
  <c r="H27" i="11"/>
  <c r="J26" i="11"/>
  <c r="I26" i="11"/>
  <c r="H26" i="11"/>
  <c r="J25" i="11"/>
  <c r="I25" i="11"/>
  <c r="H25" i="11"/>
  <c r="J24" i="11"/>
  <c r="I24" i="11"/>
  <c r="H24" i="11"/>
  <c r="B12" i="11"/>
  <c r="M361" i="13"/>
  <c r="M390" i="13" l="1"/>
  <c r="M389" i="13"/>
  <c r="L389" i="13"/>
  <c r="F389" i="13"/>
  <c r="K389" i="13"/>
  <c r="F391" i="13"/>
  <c r="H381" i="13" l="1"/>
  <c r="H259" i="13"/>
  <c r="H255" i="13"/>
  <c r="H383" i="13" s="1"/>
  <c r="F384" i="13" l="1"/>
  <c r="F377" i="13"/>
  <c r="G381" i="13"/>
  <c r="G384" i="13" s="1"/>
  <c r="G389" i="13" s="1"/>
  <c r="G391" i="13" s="1"/>
  <c r="F381" i="13"/>
  <c r="F380" i="13"/>
  <c r="G271" i="13"/>
  <c r="H271" i="13"/>
  <c r="M334" i="13" l="1"/>
  <c r="M357" i="13"/>
  <c r="M266" i="13"/>
  <c r="M197" i="13"/>
  <c r="M61" i="13"/>
  <c r="L132" i="13"/>
  <c r="L357" i="13"/>
  <c r="L334" i="13"/>
  <c r="L266" i="13"/>
  <c r="L197" i="13"/>
  <c r="L61" i="13"/>
  <c r="L360" i="13" l="1"/>
  <c r="R333" i="13"/>
  <c r="S333" i="13"/>
  <c r="O333" i="13"/>
  <c r="Q331" i="13"/>
  <c r="K334" i="13"/>
  <c r="K266" i="13"/>
  <c r="F334" i="13"/>
  <c r="G333" i="13"/>
  <c r="K132" i="13"/>
  <c r="M100" i="13"/>
  <c r="M132" i="13" s="1"/>
  <c r="M360" i="13" s="1"/>
  <c r="M362" i="13" s="1"/>
  <c r="F383" i="13" l="1"/>
  <c r="H380" i="13"/>
  <c r="H384" i="13" s="1"/>
  <c r="H389" i="13" s="1"/>
  <c r="H391" i="13" s="1"/>
  <c r="G380" i="13"/>
  <c r="F374" i="13"/>
  <c r="F361" i="13"/>
  <c r="K357" i="13"/>
  <c r="K197" i="13"/>
  <c r="K61" i="13"/>
  <c r="H356" i="13"/>
  <c r="K360" i="13" l="1"/>
  <c r="I300" i="13"/>
  <c r="I299" i="13"/>
  <c r="H302" i="13"/>
  <c r="H308" i="13" s="1"/>
  <c r="I307" i="13"/>
  <c r="I306" i="13"/>
  <c r="I293" i="13"/>
  <c r="I292" i="13"/>
  <c r="I281" i="13"/>
  <c r="G280" i="13"/>
  <c r="G284" i="13" s="1"/>
  <c r="H280" i="13"/>
  <c r="H284" i="13" s="1"/>
  <c r="H265" i="13"/>
  <c r="G265" i="13"/>
  <c r="I262" i="13"/>
  <c r="G255" i="13"/>
  <c r="I253" i="13" l="1"/>
  <c r="H246" i="13"/>
  <c r="G246" i="13"/>
  <c r="I250" i="13"/>
  <c r="I245" i="13"/>
  <c r="I244" i="13"/>
  <c r="G236" i="13"/>
  <c r="G254" i="13" s="1"/>
  <c r="G116" i="13"/>
  <c r="G163" i="13" s="1"/>
  <c r="H233" i="13"/>
  <c r="H226" i="13"/>
  <c r="G226" i="13"/>
  <c r="H223" i="13"/>
  <c r="G223" i="13"/>
  <c r="H215" i="13" l="1"/>
  <c r="H209" i="13"/>
  <c r="H207" i="13"/>
  <c r="G207" i="13"/>
  <c r="I206" i="13"/>
  <c r="H196" i="13"/>
  <c r="H192" i="13"/>
  <c r="G192" i="13"/>
  <c r="I191" i="13"/>
  <c r="H188" i="13"/>
  <c r="H182" i="13"/>
  <c r="H175" i="13"/>
  <c r="G175" i="13"/>
  <c r="F175" i="13"/>
  <c r="I170" i="13"/>
  <c r="H164" i="13" l="1"/>
  <c r="G164" i="13"/>
  <c r="G168" i="13" s="1"/>
  <c r="I166" i="13"/>
  <c r="I165" i="13"/>
  <c r="F163" i="13"/>
  <c r="H116" i="13"/>
  <c r="H163" i="13" s="1"/>
  <c r="I118" i="13"/>
  <c r="I148" i="13"/>
  <c r="I147" i="13"/>
  <c r="I139" i="13"/>
  <c r="I138" i="13"/>
  <c r="I136" i="13"/>
  <c r="I135" i="13"/>
  <c r="I131" i="13"/>
  <c r="I129" i="13"/>
  <c r="I120" i="13"/>
  <c r="I119" i="13"/>
  <c r="H114" i="13"/>
  <c r="G114" i="13"/>
  <c r="F114" i="13"/>
  <c r="I108" i="13"/>
  <c r="I164" i="13" l="1"/>
  <c r="H168" i="13"/>
  <c r="I89" i="13"/>
  <c r="I87" i="13"/>
  <c r="I70" i="13"/>
  <c r="I69" i="13"/>
  <c r="I53" i="13"/>
  <c r="F100" i="13"/>
  <c r="F132" i="13" s="1"/>
  <c r="I95" i="13"/>
  <c r="I92" i="13"/>
  <c r="H51" i="13"/>
  <c r="G51" i="13"/>
  <c r="I58" i="13"/>
  <c r="H40" i="13"/>
  <c r="G40" i="13"/>
  <c r="I48" i="13"/>
  <c r="H197" i="13" l="1"/>
  <c r="G100" i="13"/>
  <c r="H100" i="13"/>
  <c r="H22" i="13"/>
  <c r="G22" i="13"/>
  <c r="F22" i="13"/>
  <c r="H28" i="13"/>
  <c r="G28" i="13"/>
  <c r="F28" i="13"/>
  <c r="H12" i="13"/>
  <c r="G12" i="13"/>
  <c r="I12" i="13" s="1"/>
  <c r="F12" i="13"/>
  <c r="J15" i="11" l="1"/>
  <c r="I15" i="11"/>
  <c r="H15" i="11"/>
  <c r="S331" i="13"/>
  <c r="H333" i="13" l="1"/>
  <c r="I282" i="13"/>
  <c r="H220" i="13"/>
  <c r="G220" i="13"/>
  <c r="I280" i="13" l="1"/>
  <c r="I284" i="13" l="1"/>
  <c r="H382" i="13" l="1"/>
  <c r="L384" i="13" l="1"/>
  <c r="K384" i="13"/>
  <c r="G382" i="13"/>
  <c r="F382" i="13"/>
  <c r="G105" i="13"/>
  <c r="G132" i="13" s="1"/>
  <c r="H105" i="13" l="1"/>
  <c r="H132" i="13" l="1"/>
  <c r="H351" i="13"/>
  <c r="I350" i="13"/>
  <c r="G356" i="13"/>
  <c r="H342" i="13"/>
  <c r="G342" i="13"/>
  <c r="I344" i="13"/>
  <c r="I343" i="13"/>
  <c r="I332" i="13"/>
  <c r="I331" i="13"/>
  <c r="I330" i="13"/>
  <c r="I329" i="13"/>
  <c r="I328" i="13"/>
  <c r="I327" i="13"/>
  <c r="I277" i="13"/>
  <c r="I115" i="13"/>
  <c r="I342" i="13" l="1"/>
  <c r="I341" i="13"/>
  <c r="I340" i="13"/>
  <c r="H339" i="13"/>
  <c r="H346" i="13" s="1"/>
  <c r="H357" i="13" s="1"/>
  <c r="G339" i="13"/>
  <c r="G346" i="13" s="1"/>
  <c r="I304" i="13"/>
  <c r="I303" i="13"/>
  <c r="G302" i="13"/>
  <c r="G308" i="13" s="1"/>
  <c r="H288" i="13"/>
  <c r="G288" i="13"/>
  <c r="I290" i="13"/>
  <c r="I289" i="13"/>
  <c r="I308" i="13" l="1"/>
  <c r="I339" i="13"/>
  <c r="I288" i="13"/>
  <c r="I302" i="13"/>
  <c r="H236" i="13"/>
  <c r="I239" i="13"/>
  <c r="I238" i="13"/>
  <c r="I237" i="13"/>
  <c r="H254" i="13" l="1"/>
  <c r="I346" i="13"/>
  <c r="I219" i="13"/>
  <c r="I217" i="13"/>
  <c r="G233" i="13" l="1"/>
  <c r="I222" i="13"/>
  <c r="G215" i="13"/>
  <c r="G188" i="13"/>
  <c r="F188" i="13"/>
  <c r="G182" i="13"/>
  <c r="F182" i="13"/>
  <c r="I146" i="13"/>
  <c r="I130" i="13"/>
  <c r="I128" i="13"/>
  <c r="I113" i="13"/>
  <c r="I104" i="13"/>
  <c r="I94" i="13"/>
  <c r="G197" i="13" l="1"/>
  <c r="I83" i="13"/>
  <c r="I82" i="13"/>
  <c r="I68" i="13"/>
  <c r="I43" i="13"/>
  <c r="I39" i="13"/>
  <c r="H31" i="13" l="1"/>
  <c r="B11" i="11" l="1"/>
  <c r="M372" i="13"/>
  <c r="L372" i="13"/>
  <c r="K372" i="13"/>
  <c r="M371" i="13"/>
  <c r="L371" i="13"/>
  <c r="K371" i="13"/>
  <c r="H16" i="11" l="1"/>
  <c r="K377" i="13"/>
  <c r="I16" i="11"/>
  <c r="L377" i="13"/>
  <c r="J16" i="11"/>
  <c r="M377" i="13"/>
  <c r="J32" i="11"/>
  <c r="I32" i="11"/>
  <c r="H32" i="11"/>
  <c r="J28" i="11" l="1"/>
  <c r="I28" i="11"/>
  <c r="I30" i="11" s="1"/>
  <c r="I33" i="11" s="1"/>
  <c r="H28" i="11"/>
  <c r="H30" i="11" l="1"/>
  <c r="H33" i="11" s="1"/>
  <c r="J30" i="11"/>
  <c r="J33" i="11" s="1"/>
  <c r="I325" i="13"/>
  <c r="I324" i="13"/>
  <c r="H323" i="13"/>
  <c r="H326" i="13" s="1"/>
  <c r="G323" i="13"/>
  <c r="G326" i="13" s="1"/>
  <c r="I321" i="13"/>
  <c r="I320" i="13"/>
  <c r="H319" i="13"/>
  <c r="H322" i="13" s="1"/>
  <c r="G319" i="13"/>
  <c r="G322" i="13" s="1"/>
  <c r="I316" i="13"/>
  <c r="I315" i="13"/>
  <c r="H314" i="13"/>
  <c r="H318" i="13" s="1"/>
  <c r="G314" i="13"/>
  <c r="H309" i="13"/>
  <c r="H313" i="13" s="1"/>
  <c r="G309" i="13"/>
  <c r="G313" i="13" s="1"/>
  <c r="I311" i="13"/>
  <c r="I310" i="13"/>
  <c r="H294" i="13"/>
  <c r="I322" i="13" l="1"/>
  <c r="I333" i="13"/>
  <c r="I313" i="13"/>
  <c r="I326" i="13"/>
  <c r="G318" i="13"/>
  <c r="I318" i="13" s="1"/>
  <c r="I309" i="13"/>
  <c r="I323" i="13"/>
  <c r="I319" i="13"/>
  <c r="I314" i="13"/>
  <c r="I278" i="13"/>
  <c r="I276" i="13"/>
  <c r="I275" i="13"/>
  <c r="H274" i="13"/>
  <c r="G274" i="13"/>
  <c r="I243" i="13"/>
  <c r="I249" i="13"/>
  <c r="I248" i="13"/>
  <c r="I247" i="13"/>
  <c r="G279" i="13" l="1"/>
  <c r="H279" i="13"/>
  <c r="I274" i="13"/>
  <c r="I242" i="13"/>
  <c r="I241" i="13"/>
  <c r="I235" i="13"/>
  <c r="I234" i="13"/>
  <c r="H371" i="13" l="1"/>
  <c r="H372" i="13"/>
  <c r="I352" i="13"/>
  <c r="I225" i="13"/>
  <c r="I226" i="13" l="1"/>
  <c r="I158" i="13" l="1"/>
  <c r="I157" i="13"/>
  <c r="I150" i="13"/>
  <c r="I103" i="13" l="1"/>
  <c r="I116" i="13" l="1"/>
  <c r="I55" i="13" l="1"/>
  <c r="D24" i="11" l="1"/>
  <c r="M384" i="13"/>
  <c r="C26" i="11"/>
  <c r="B27" i="11"/>
  <c r="D26" i="11"/>
  <c r="E26" i="11" s="1"/>
  <c r="B26" i="11"/>
  <c r="D13" i="11"/>
  <c r="D12" i="11"/>
  <c r="B24" i="11"/>
  <c r="C24" i="11" l="1"/>
  <c r="E24" i="11" s="1"/>
  <c r="M391" i="13"/>
  <c r="L391" i="13"/>
  <c r="K391" i="13"/>
  <c r="D29" i="11" l="1"/>
  <c r="I297" i="13"/>
  <c r="I296" i="13"/>
  <c r="H295" i="13"/>
  <c r="G295" i="13"/>
  <c r="G301" i="13" s="1"/>
  <c r="G285" i="13"/>
  <c r="I287" i="13"/>
  <c r="I286" i="13"/>
  <c r="I182" i="13"/>
  <c r="I127" i="13"/>
  <c r="I126" i="13"/>
  <c r="I124" i="13"/>
  <c r="F192" i="13"/>
  <c r="I175" i="13"/>
  <c r="I114" i="13"/>
  <c r="G361" i="13"/>
  <c r="C29" i="11" s="1"/>
  <c r="I105" i="13"/>
  <c r="I76" i="13"/>
  <c r="I75" i="13"/>
  <c r="I74" i="13"/>
  <c r="H8" i="13"/>
  <c r="F8" i="13"/>
  <c r="I348" i="13"/>
  <c r="I236" i="13"/>
  <c r="I240" i="13"/>
  <c r="I218" i="13"/>
  <c r="I190" i="13"/>
  <c r="I187" i="13"/>
  <c r="I184" i="13"/>
  <c r="I181" i="13"/>
  <c r="I172" i="13"/>
  <c r="I174" i="13"/>
  <c r="I169" i="13"/>
  <c r="I167" i="13"/>
  <c r="I162" i="13"/>
  <c r="I161" i="13"/>
  <c r="I160" i="13"/>
  <c r="I153" i="13"/>
  <c r="I154" i="13"/>
  <c r="I155" i="13"/>
  <c r="I156" i="13"/>
  <c r="I152" i="13"/>
  <c r="I122" i="13"/>
  <c r="I123" i="13"/>
  <c r="I140" i="13"/>
  <c r="I141" i="13"/>
  <c r="I142" i="13"/>
  <c r="I143" i="13"/>
  <c r="I144" i="13"/>
  <c r="I145" i="13"/>
  <c r="I149" i="13"/>
  <c r="I107" i="13"/>
  <c r="I109" i="13"/>
  <c r="I90" i="13"/>
  <c r="I73" i="13"/>
  <c r="I72" i="13"/>
  <c r="I57" i="13"/>
  <c r="I59" i="13"/>
  <c r="I41" i="13"/>
  <c r="I45" i="13"/>
  <c r="I46" i="13"/>
  <c r="I47" i="13"/>
  <c r="I37" i="13"/>
  <c r="I11" i="13"/>
  <c r="F356" i="13"/>
  <c r="G351" i="13"/>
  <c r="F351" i="13"/>
  <c r="H211" i="13"/>
  <c r="G31" i="13"/>
  <c r="F31" i="13"/>
  <c r="I220" i="13"/>
  <c r="I264" i="13"/>
  <c r="I263" i="13"/>
  <c r="I229" i="13"/>
  <c r="I79" i="13"/>
  <c r="I71" i="13"/>
  <c r="I50" i="13"/>
  <c r="I52" i="13"/>
  <c r="I81" i="13"/>
  <c r="I84" i="13"/>
  <c r="I88" i="13"/>
  <c r="I106" i="13"/>
  <c r="I117" i="13"/>
  <c r="I121" i="13"/>
  <c r="I177" i="13"/>
  <c r="I183" i="13"/>
  <c r="I214" i="13"/>
  <c r="I216" i="13"/>
  <c r="I252" i="13"/>
  <c r="I256" i="13"/>
  <c r="I257" i="13"/>
  <c r="I260" i="13"/>
  <c r="I261" i="13"/>
  <c r="I272" i="13"/>
  <c r="I273" i="13"/>
  <c r="D21" i="11"/>
  <c r="F371" i="13" l="1"/>
  <c r="F357" i="13"/>
  <c r="G371" i="13"/>
  <c r="G357" i="13"/>
  <c r="H266" i="13"/>
  <c r="H374" i="13"/>
  <c r="H61" i="13"/>
  <c r="H373" i="13"/>
  <c r="H301" i="13"/>
  <c r="H334" i="13" s="1"/>
  <c r="F61" i="13"/>
  <c r="G61" i="13"/>
  <c r="G373" i="13"/>
  <c r="G294" i="13"/>
  <c r="G334" i="13" s="1"/>
  <c r="G383" i="13"/>
  <c r="F373" i="13"/>
  <c r="B10" i="11" s="1"/>
  <c r="F197" i="13"/>
  <c r="I294" i="13"/>
  <c r="F372" i="13"/>
  <c r="B13" i="11" s="1"/>
  <c r="G259" i="13"/>
  <c r="G372" i="13"/>
  <c r="C13" i="11" s="1"/>
  <c r="E13" i="11" s="1"/>
  <c r="I188" i="13"/>
  <c r="I168" i="13"/>
  <c r="E29" i="11"/>
  <c r="I285" i="13"/>
  <c r="I265" i="13"/>
  <c r="I251" i="13"/>
  <c r="I40" i="13"/>
  <c r="I246" i="13"/>
  <c r="I356" i="13"/>
  <c r="I213" i="13"/>
  <c r="I279" i="13"/>
  <c r="D15" i="11"/>
  <c r="I78" i="13"/>
  <c r="I215" i="13"/>
  <c r="I223" i="13"/>
  <c r="I80" i="13"/>
  <c r="I51" i="13"/>
  <c r="I192" i="13"/>
  <c r="I351" i="13"/>
  <c r="I361" i="13"/>
  <c r="I271" i="13"/>
  <c r="I255" i="13"/>
  <c r="C15" i="11"/>
  <c r="B15" i="11"/>
  <c r="B29" i="11"/>
  <c r="I295" i="13"/>
  <c r="L362" i="13"/>
  <c r="K362" i="13"/>
  <c r="H360" i="13" l="1"/>
  <c r="P333" i="13"/>
  <c r="G266" i="13"/>
  <c r="G360" i="13" s="1"/>
  <c r="Q333" i="13"/>
  <c r="D11" i="11"/>
  <c r="E11" i="11" s="1"/>
  <c r="G374" i="13"/>
  <c r="C11" i="11" s="1"/>
  <c r="D27" i="11"/>
  <c r="C12" i="11"/>
  <c r="E12" i="11" s="1"/>
  <c r="D10" i="11"/>
  <c r="E10" i="11" s="1"/>
  <c r="F375" i="13"/>
  <c r="I301" i="13"/>
  <c r="C27" i="11"/>
  <c r="I259" i="13"/>
  <c r="C10" i="11"/>
  <c r="I233" i="13"/>
  <c r="B25" i="11"/>
  <c r="B28" i="11" s="1"/>
  <c r="B30" i="11" s="1"/>
  <c r="I163" i="13"/>
  <c r="E15" i="11"/>
  <c r="I254" i="13"/>
  <c r="C25" i="11"/>
  <c r="D25" i="11"/>
  <c r="I100" i="13"/>
  <c r="H375" i="13" l="1"/>
  <c r="H377" i="13" s="1"/>
  <c r="E27" i="11"/>
  <c r="B14" i="11"/>
  <c r="B16" i="11" s="1"/>
  <c r="G375" i="13"/>
  <c r="G377" i="13" s="1"/>
  <c r="G362" i="13"/>
  <c r="C28" i="11"/>
  <c r="C30" i="11" s="1"/>
  <c r="D14" i="11"/>
  <c r="H362" i="13"/>
  <c r="C14" i="11"/>
  <c r="C16" i="11" s="1"/>
  <c r="D28" i="11"/>
  <c r="E25" i="11"/>
  <c r="D16" i="11" l="1"/>
  <c r="E16" i="11" s="1"/>
  <c r="E14" i="11"/>
  <c r="D30" i="11"/>
  <c r="E30" i="11" s="1"/>
  <c r="E28" i="11"/>
  <c r="I360" i="13"/>
  <c r="I362" i="13"/>
</calcChain>
</file>

<file path=xl/sharedStrings.xml><?xml version="1.0" encoding="utf-8"?>
<sst xmlns="http://schemas.openxmlformats.org/spreadsheetml/2006/main" count="873" uniqueCount="327">
  <si>
    <t>v tis. Kč</t>
  </si>
  <si>
    <t>Správní poplatky</t>
  </si>
  <si>
    <t>pol.</t>
  </si>
  <si>
    <t>název položky</t>
  </si>
  <si>
    <t>schválený rozp.</t>
  </si>
  <si>
    <t>upravený rozp.</t>
  </si>
  <si>
    <t>Příjmy Olomouckého kraje celkem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</si>
  <si>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</si>
  <si>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</si>
  <si>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</si>
  <si>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přidané hodnoty</t>
  </si>
  <si>
    <t>Příjmy z úroků</t>
  </si>
  <si>
    <t>Přijaté pojistné náhrady</t>
  </si>
  <si>
    <t>§</t>
  </si>
  <si>
    <t>Neidentifikované příjmy</t>
  </si>
  <si>
    <t>Příjmy z prodeje pozemků</t>
  </si>
  <si>
    <t>Přijaté sankční platby</t>
  </si>
  <si>
    <t>Odvody příspěvkových organizací</t>
  </si>
  <si>
    <t>skutečnost</t>
  </si>
  <si>
    <t>%</t>
  </si>
  <si>
    <t>Převody z rozpočtových účtů</t>
  </si>
  <si>
    <t>Příjmy z pronájmu pozemků</t>
  </si>
  <si>
    <t>Přijaté nekapitálové příspěvky a náhrady</t>
  </si>
  <si>
    <t>Konsolidace *</t>
  </si>
  <si>
    <t xml:space="preserve">Příjmy Olomouckého kraje                                (po konsolidaci)                </t>
  </si>
  <si>
    <t xml:space="preserve">Daň z příjmů právnických osob </t>
  </si>
  <si>
    <t>* Konsolidace</t>
  </si>
  <si>
    <t>Konsolidace je očištění údajů  rozpočtu a skutečnosti o interní přesuny peněžních prostředků uvnitř organizace mezi jednotlivými účty.</t>
  </si>
  <si>
    <t>Příjmy z pronájmu movitých věcí</t>
  </si>
  <si>
    <t>Převody z ostatních vlastních fondů</t>
  </si>
  <si>
    <t>Příjmy</t>
  </si>
  <si>
    <t>Příjmy celkem</t>
  </si>
  <si>
    <t>Daň z příjmu právnických osob za kraje</t>
  </si>
  <si>
    <t>Ostatní přijaté vratky transferů</t>
  </si>
  <si>
    <t>b) dle druhu příjmů</t>
  </si>
  <si>
    <t>a) dle oblastí příjmů</t>
  </si>
  <si>
    <t xml:space="preserve">Příjmy Olomouckého kraje                           </t>
  </si>
  <si>
    <t>5=4/3</t>
  </si>
  <si>
    <t>Příjmy z pronájmu ostatních nemovitostí a jejich částí</t>
  </si>
  <si>
    <t>Příjmy z fin.vypoř.minulých let mezi krajem a obcemi</t>
  </si>
  <si>
    <t>Splátky půjčených prostř.od obcí</t>
  </si>
  <si>
    <t>Příjmy z prodeje ost.nemovit.a jejich částí</t>
  </si>
  <si>
    <t>Neinvestiční přijaté transfery z VPS</t>
  </si>
  <si>
    <t>MŠMT - přímé náklady na vzdělání</t>
  </si>
  <si>
    <t xml:space="preserve">MŠMT - dotace pro soukromé školy </t>
  </si>
  <si>
    <t>MPSV - na výplatu st.přísp.pro zřiz.zařízení pro děti vyž.okamžitou pomoc</t>
  </si>
  <si>
    <r>
      <t>•</t>
    </r>
    <r>
      <rPr>
        <sz val="11"/>
        <rFont val="Arial CE"/>
        <charset val="238"/>
      </rPr>
      <t xml:space="preserve"> Běžné příjmy Olomouckého kraje</t>
    </r>
  </si>
  <si>
    <r>
      <t>•</t>
    </r>
    <r>
      <rPr>
        <sz val="11"/>
        <rFont val="Arial CE"/>
        <charset val="238"/>
      </rPr>
      <t xml:space="preserve"> Evropské programy</t>
    </r>
  </si>
  <si>
    <r>
      <t>•</t>
    </r>
    <r>
      <rPr>
        <sz val="11"/>
        <rFont val="Arial CE"/>
        <charset val="238"/>
      </rPr>
      <t xml:space="preserve"> Fond sociálních potřeb</t>
    </r>
  </si>
  <si>
    <r>
      <t>•</t>
    </r>
    <r>
      <rPr>
        <sz val="11"/>
        <rFont val="Arial CE"/>
        <charset val="238"/>
      </rPr>
      <t xml:space="preserve"> Fond na podporu výstavby a obnovy vodohospodářské infrastruktury na území Olomouckého kraje</t>
    </r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</si>
  <si>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</si>
  <si>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</si>
  <si>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</si>
  <si>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</si>
  <si>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* Konsolidace je očištění údajů o rozpočtu a skutečnosti o interní přesuny peněžních prostředků uvnitř organizace mezi jednotlivými účty.</t>
  </si>
  <si>
    <t>Ostatní příjmy z vlastní činnosti</t>
  </si>
  <si>
    <t>MOČR - neinv.transfery na provoz škol</t>
  </si>
  <si>
    <t>MŠMT-program sociální prev.a prev.kriminality</t>
  </si>
  <si>
    <t>Investiční převody z Národních fondů</t>
  </si>
  <si>
    <t>Neinvest.přijaté transfery od region.rad</t>
  </si>
  <si>
    <t>Neinvestiční přijaté transfery ze SF</t>
  </si>
  <si>
    <t>SFŽP - Oper.progr.život.prostř.(2007-2013)-spolufin.-NIV</t>
  </si>
  <si>
    <t>RSSM - ROP RS Střední Morava - NIV - EU</t>
  </si>
  <si>
    <t>Neinvestiční převody z NF</t>
  </si>
  <si>
    <t xml:space="preserve">MŠMT-Fin.asistentů pro žáky a studenty se soc.znevýh. </t>
  </si>
  <si>
    <t>MV-neinv.transfery krajům</t>
  </si>
  <si>
    <t>MPSV - Operační program lidské zdroje a zaměstnanost</t>
  </si>
  <si>
    <t>MŠMT - spolupráce s fr.,vlámskými a šp.školami</t>
  </si>
  <si>
    <t>MŠMT - Globální grant OP VK v obl.dalšího vzdělávání</t>
  </si>
  <si>
    <t>MŠMT - rozvoj.progr.na podporu škol,kt.realizují inkluz.vzdělávání</t>
  </si>
  <si>
    <t>MŠMT - Individuální projekt ostatní OP VK</t>
  </si>
  <si>
    <t>MZ - Meliorace a hrazení bystřin v lesích podle lesního zákona</t>
  </si>
  <si>
    <t>Investiční přijaté transfery od regionálních rad</t>
  </si>
  <si>
    <t>ORJ</t>
  </si>
  <si>
    <t>9=8/7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</si>
  <si>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</si>
  <si>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</si>
  <si>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</si>
  <si>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</si>
  <si>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</si>
  <si>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</si>
  <si>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</si>
  <si>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</si>
  <si>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</si>
  <si>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</si>
  <si>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</si>
  <si>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</si>
  <si>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</si>
  <si>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</si>
  <si>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32</t>
  </si>
  <si>
    <t>50</t>
  </si>
  <si>
    <t>52</t>
  </si>
  <si>
    <t>58</t>
  </si>
  <si>
    <t>56</t>
  </si>
  <si>
    <t>57</t>
  </si>
  <si>
    <t>59</t>
  </si>
  <si>
    <t>60</t>
  </si>
  <si>
    <t>61</t>
  </si>
  <si>
    <t>63</t>
  </si>
  <si>
    <t>a) Příjmy Olomouckého kraje</t>
  </si>
  <si>
    <t>199</t>
  </si>
  <si>
    <t>99</t>
  </si>
  <si>
    <t>Platby za odebrané množství podzemní vody</t>
  </si>
  <si>
    <t>Příjmy Olomouckého kraje  celkem  (po konsolidaci)</t>
  </si>
  <si>
    <t>Mezisoučet</t>
  </si>
  <si>
    <t>Ostatní investiční přijaté transfery ze SR</t>
  </si>
  <si>
    <t>Splátky půjč.prostř.od obecně prospěš.společností</t>
  </si>
  <si>
    <t>Příjmy z poskytování služeb a výrobků</t>
  </si>
  <si>
    <t>Sankční platby přijaté od státu, obcí a krajů</t>
  </si>
  <si>
    <t>Sankční platby přijaté od jiných subjektů</t>
  </si>
  <si>
    <t>MF - Účelové dotace krajům - TBC</t>
  </si>
  <si>
    <t>MF - Podpora koordinátorů romských poradců</t>
  </si>
  <si>
    <t>MFČR - Příspěvek na ztrátu dopravce z provozu veřejné osobní drážní dopravy</t>
  </si>
  <si>
    <t>MK - Veřejné informační služby knihoven - neinvestice</t>
  </si>
  <si>
    <t>MMR - Přeshraniční spolupráce-SR</t>
  </si>
  <si>
    <t>Operační program Přeshraniční spolupráce ČR – Polsko</t>
  </si>
  <si>
    <t>Inv.přijaté transfery z VPS SR</t>
  </si>
  <si>
    <t>MF - Výkupy pozemků pod krajskými komunikacemi</t>
  </si>
  <si>
    <t>MŠMT - rozvoj.progr.MŠMT pro děti-cizince ze 3.zemí</t>
  </si>
  <si>
    <t>MŠMT - Vybavení škol pomůckami kompenzačního a rehab.char.</t>
  </si>
  <si>
    <t>MŠMT - OPVK-oblast 1.4.EU peníze školám-EU</t>
  </si>
  <si>
    <t>Ostatní inv.přijaté transfery ze SR</t>
  </si>
  <si>
    <t xml:space="preserve">Operační program Přeshraniční spolupráce ČR – Polsko </t>
  </si>
  <si>
    <t>Investiční přijaté transfery ze SF</t>
  </si>
  <si>
    <t>64</t>
  </si>
  <si>
    <t>v Kč</t>
  </si>
  <si>
    <t>Neinvestiční přijaté transfery ze SR v rámci SFV</t>
  </si>
  <si>
    <t>01</t>
  </si>
  <si>
    <t>MF - Náhrady škod způsob.vybranými zvl.chráněnými živočichy</t>
  </si>
  <si>
    <t>MF - Účelová dotace krajům na likvidaci léčiv</t>
  </si>
  <si>
    <t>MPSV - OP lidské zdroje a zaměstnanost-CZ</t>
  </si>
  <si>
    <t>MPSV - OP lidské zdroje a zaměstnanost-EU</t>
  </si>
  <si>
    <t>Příjmy z fin.vypoř.minulých let mezi reg.radou a kraji,obcemi a DSO</t>
  </si>
  <si>
    <t>MŠMT - Podpora organizace a ukonč.středního vzděl.maturitní zkouškou</t>
  </si>
  <si>
    <t>MŠMT - Dotace dvojjazyčným gymnáziím s výukou francouštiny</t>
  </si>
  <si>
    <t>MŠMT - Projekty romské komunity</t>
  </si>
  <si>
    <t>MŠMT - Soutěže</t>
  </si>
  <si>
    <t>MŠMT-asistent pedag.v soukr.a církevních spec.školách</t>
  </si>
  <si>
    <t>30</t>
  </si>
  <si>
    <t>66</t>
  </si>
  <si>
    <t>MŠMT - Počáteční vzdělávání v globál.grantech OP VK, NIV,EU</t>
  </si>
  <si>
    <t>67</t>
  </si>
  <si>
    <t>68</t>
  </si>
  <si>
    <t>69</t>
  </si>
  <si>
    <t>71</t>
  </si>
  <si>
    <t>evropské programy</t>
  </si>
  <si>
    <t>běžné příjmy</t>
  </si>
  <si>
    <t xml:space="preserve">daňové příjmy </t>
  </si>
  <si>
    <t>nedaňové příjmy</t>
  </si>
  <si>
    <t>kapitálové příjmy</t>
  </si>
  <si>
    <t>přijaté dotace</t>
  </si>
  <si>
    <t>sociální fond</t>
  </si>
  <si>
    <t>fond - voda</t>
  </si>
  <si>
    <t>Příjmy z prodeje z krátk.a drobného dlouhodob.maj.</t>
  </si>
  <si>
    <t>MŠMT - Excelence středních škol</t>
  </si>
  <si>
    <t>MŠMT - Bezpl.přípr.dětí azylantů, účastníků řízení o azyl a dětí osob se st.přísl.jiného čl.st.EU k začlenění do zákl.vzdělávání</t>
  </si>
  <si>
    <t>MPSV - OP Lidské zdroje a zaměstnanost</t>
  </si>
  <si>
    <t>MŽP - Podpora zlepšování stavu přírody a krajiny – EU – NIV</t>
  </si>
  <si>
    <t>MPSV - IOP - služby v oblasti sociální integrace- IV</t>
  </si>
  <si>
    <t>MŠMT - GG OP VK v oblasti dalšího vzdělávání - investice</t>
  </si>
  <si>
    <t>MŠMT - Individuální projekt ostatní OP VK - neinvestice - EU</t>
  </si>
  <si>
    <t>MŠMT - Technická pomoc OP VK</t>
  </si>
  <si>
    <t>72</t>
  </si>
  <si>
    <t>73</t>
  </si>
  <si>
    <t>74</t>
  </si>
  <si>
    <t>konsolidace 199</t>
  </si>
  <si>
    <t>financování</t>
  </si>
  <si>
    <t>celkem</t>
  </si>
  <si>
    <t>konsoliace</t>
  </si>
  <si>
    <t>celkem po konsolidaci</t>
  </si>
  <si>
    <t>ORJ 30-75</t>
  </si>
  <si>
    <t>MPSV -"Projektové a procesní řízení na KÚOK" v rámci OPLZZ</t>
  </si>
  <si>
    <t>Splátky půjčených prostředků od obcí</t>
  </si>
  <si>
    <t>MPSV - Neinvestiční nedávkové transfery podle zákona č. 108/2006 Sb., o sociálních službách (§ 101, § 102 a § 103)</t>
  </si>
  <si>
    <t>MZ - Meliorace a hrazení bystřin v lesích podle lesního zákona</t>
  </si>
  <si>
    <t>MZdr. - Připravenost poskytovatele ZZS na řešení mimořádných událostí a krizových situací</t>
  </si>
  <si>
    <t>Neinv.přijaté transfery od mezinárodních institucí</t>
  </si>
  <si>
    <t>MŠMT - Podpora zavádění diagnostických nástrojů</t>
  </si>
  <si>
    <t>MŠMT - Rozvoj.progr.Podpora logoped.prevence v předšk.vzděl.</t>
  </si>
  <si>
    <t>MŠMT-Podpora odborného vzdělávání</t>
  </si>
  <si>
    <t>18</t>
  </si>
  <si>
    <t>MPSV-IOP - služby v oblasti sociální integrace -  NIV</t>
  </si>
  <si>
    <t>MMR - Integrovaný operační program – EU – NIV</t>
  </si>
  <si>
    <t>MMR - Integrovaný operační program  – EU – IV</t>
  </si>
  <si>
    <t xml:space="preserve">RSSM - ROP RS Střední Morava – IV – EU </t>
  </si>
  <si>
    <t>MŠMT - Počáteční vzdělávání v GG OP VK - investice - EU</t>
  </si>
  <si>
    <t>75</t>
  </si>
  <si>
    <t xml:space="preserve">MMR - OP - Přeshraniční spolupráce  - NIV - SR </t>
  </si>
  <si>
    <t>MŠMT - Individuální projekt ostatní OP VK - investice - EU</t>
  </si>
  <si>
    <t>SR</t>
  </si>
  <si>
    <t>UR</t>
  </si>
  <si>
    <t>Č</t>
  </si>
  <si>
    <t>ORJ 07 celkem</t>
  </si>
  <si>
    <t>pol 4134 ORJ 07</t>
  </si>
  <si>
    <t>konsolidace</t>
  </si>
  <si>
    <t>položka 5345</t>
  </si>
  <si>
    <t>položka 4134</t>
  </si>
  <si>
    <t>konsolidace 30-75</t>
  </si>
  <si>
    <t>celkem ORJ 30-75 včetně konsolidace</t>
  </si>
  <si>
    <t>konsolidace ORJ 30-75, pol.4134</t>
  </si>
  <si>
    <t xml:space="preserve">Rekapitulace celkových příjmů Olomouckého kraje, které zahrnují  příjmy běžné (daňové, nedaňové, kapitálové) přijaté účelové dotace ze státního rozpočtu, zapojení úvěrů (úvěr z EIB, KB), zapojení zůstatku bankovních účtů. </t>
  </si>
  <si>
    <t>2. Plnění rozpočtu příjmů Olomouckého kraje k 31.12.2014</t>
  </si>
  <si>
    <t>000098074</t>
  </si>
  <si>
    <t>000098187</t>
  </si>
  <si>
    <t>000098278</t>
  </si>
  <si>
    <t>000098297</t>
  </si>
  <si>
    <t>000098335</t>
  </si>
  <si>
    <t>000098348</t>
  </si>
  <si>
    <t>038587505</t>
  </si>
  <si>
    <t>Ostatní odvody PO</t>
  </si>
  <si>
    <t>Kurzové rozdíly v příjmech</t>
  </si>
  <si>
    <t>Ost.příjmy z fin.vypořádání předchozáích let od jiných veř.rozp.</t>
  </si>
  <si>
    <t>000004001</t>
  </si>
  <si>
    <t>000013305</t>
  </si>
  <si>
    <t>000013307</t>
  </si>
  <si>
    <t>000014004</t>
  </si>
  <si>
    <t>000014018</t>
  </si>
  <si>
    <t>000027355</t>
  </si>
  <si>
    <t>000029009</t>
  </si>
  <si>
    <t>000034012</t>
  </si>
  <si>
    <t>000034013</t>
  </si>
  <si>
    <t>000034053</t>
  </si>
  <si>
    <t>000034070</t>
  </si>
  <si>
    <t>000035018</t>
  </si>
  <si>
    <t>033113233</t>
  </si>
  <si>
    <t>033513233</t>
  </si>
  <si>
    <t>000098861</t>
  </si>
  <si>
    <t>000029517</t>
  </si>
  <si>
    <t>000007131</t>
  </si>
  <si>
    <t>000033018</t>
  </si>
  <si>
    <t>000033024</t>
  </si>
  <si>
    <t>000033025</t>
  </si>
  <si>
    <t>000033034</t>
  </si>
  <si>
    <t>000033035</t>
  </si>
  <si>
    <t>000033038</t>
  </si>
  <si>
    <t>000033040</t>
  </si>
  <si>
    <t>000033044</t>
  </si>
  <si>
    <t>000033122</t>
  </si>
  <si>
    <t>000033155</t>
  </si>
  <si>
    <t>000033160</t>
  </si>
  <si>
    <t>000033166</t>
  </si>
  <si>
    <t>000033192</t>
  </si>
  <si>
    <t>000033215</t>
  </si>
  <si>
    <t>000033244</t>
  </si>
  <si>
    <t>000033353</t>
  </si>
  <si>
    <t>000033435</t>
  </si>
  <si>
    <t>000033457</t>
  </si>
  <si>
    <t>032133019</t>
  </si>
  <si>
    <t>032133123</t>
  </si>
  <si>
    <t>032533019</t>
  </si>
  <si>
    <t>032533123</t>
  </si>
  <si>
    <t>053190877</t>
  </si>
  <si>
    <t>053190001</t>
  </si>
  <si>
    <t>036113003</t>
  </si>
  <si>
    <t>036513003</t>
  </si>
  <si>
    <t>036517003</t>
  </si>
  <si>
    <t>041117007</t>
  </si>
  <si>
    <t>053515319</t>
  </si>
  <si>
    <t>038587005</t>
  </si>
  <si>
    <t>036113899</t>
  </si>
  <si>
    <t>036513899</t>
  </si>
  <si>
    <t>036517871</t>
  </si>
  <si>
    <t>041595113</t>
  </si>
  <si>
    <t>041595823</t>
  </si>
  <si>
    <t>032133012</t>
  </si>
  <si>
    <t>032533012</t>
  </si>
  <si>
    <t>032133887</t>
  </si>
  <si>
    <t>032533887</t>
  </si>
  <si>
    <t>033514013</t>
  </si>
  <si>
    <t>032133030</t>
  </si>
  <si>
    <t>032533030</t>
  </si>
  <si>
    <t>032133926</t>
  </si>
  <si>
    <t>032533926</t>
  </si>
  <si>
    <t>032133007</t>
  </si>
  <si>
    <t>032533007</t>
  </si>
  <si>
    <t>032133910</t>
  </si>
  <si>
    <t>032533910</t>
  </si>
  <si>
    <t>MF - Účelové dotace na výdaje spojené s volbami do zastupitelstev v obcích</t>
  </si>
  <si>
    <t>MF - Účelové dotace na výdaje spojené se společnými volbami do Parlamentu ČR a zastupitelstev v obcích</t>
  </si>
  <si>
    <t>MF - Účelové dotace na výdaje spojené s přípravou a konáním voleb do Evropského Parlamentu</t>
  </si>
  <si>
    <t>Ostatní neinvestiční přijaté transfery  ze SR</t>
  </si>
  <si>
    <t>MV - Podpora prevence kriminality - program č. 114080 - neinvestice</t>
  </si>
  <si>
    <t>MK-ISO C Výkupy předmětů-podprogr.č. 134 514-neinvestiční</t>
  </si>
  <si>
    <t>MK-ISO D Prev.ochr.před vlivy prostředí-podprog.č.134 515-neinv.</t>
  </si>
  <si>
    <t>MK - Kulturní aktivity</t>
  </si>
  <si>
    <t>RSSM - ROP RS Střední Morava – IV – EU (vazba na ÚZ 17855)</t>
  </si>
  <si>
    <t>pol 5345-konsolidace ORJ 10,11,30-75</t>
  </si>
  <si>
    <t>Ostatní nedaňové příjmy jinde nezařazené</t>
  </si>
  <si>
    <t>Ostatní neinvestiční přijaté transfery ze SR</t>
  </si>
  <si>
    <t>000029015</t>
  </si>
  <si>
    <t>000029096</t>
  </si>
  <si>
    <t>000033042</t>
  </si>
  <si>
    <t>000033047</t>
  </si>
  <si>
    <t>000033049</t>
  </si>
  <si>
    <t>000033050</t>
  </si>
  <si>
    <t>000033051</t>
  </si>
  <si>
    <t>000033052</t>
  </si>
  <si>
    <t>000033264</t>
  </si>
  <si>
    <t>000033339</t>
  </si>
  <si>
    <t>000015340</t>
  </si>
  <si>
    <t>MŽP - Ostatní neinvestiční dotace obcím a krajům</t>
  </si>
  <si>
    <t>MŠMT - Podpora dalšího vzdělávání učitelů odborných předmětů</t>
  </si>
  <si>
    <t>MŠMT - Další cizí jazyk</t>
  </si>
  <si>
    <t>MŠMT - Podpora odborného vzdělávání</t>
  </si>
  <si>
    <t>MZem. - Příspěvek na podporu ohrožených druhů zvířat</t>
  </si>
  <si>
    <t>Mzem. - Přísp.na ekolog.a k přírodě šetrné technologie</t>
  </si>
  <si>
    <t>MŠMT - Zvýšení platů pracovníků regionálního školství</t>
  </si>
  <si>
    <t>MŠMT - Rozvoj.progr.Zvýšení platů pedagog.pracovníků RgŠ</t>
  </si>
  <si>
    <t>MŠMT - Evropská jazyková cena</t>
  </si>
  <si>
    <t>MŠMT - Program podpory vzdělávání národnostních menšin</t>
  </si>
  <si>
    <t xml:space="preserve">MPSV - Operační program Lidské zdroje a zaměstnanost </t>
  </si>
  <si>
    <t>Neinvestiční přijaté transfery od krajů</t>
  </si>
  <si>
    <t>Spl.půjčených prostř.od obecně prospěš.spol. a pod.subjektů</t>
  </si>
  <si>
    <t>Investiční přijaté transfery od obcí</t>
  </si>
  <si>
    <t>054190877</t>
  </si>
  <si>
    <t>OP životní prostředí (2007-2013) - spolufinancování - IV</t>
  </si>
  <si>
    <t>054515835</t>
  </si>
  <si>
    <t>053515827</t>
  </si>
  <si>
    <t>MŽP - Podpora zlepšování stavu přírody a krajiny – EU – IV</t>
  </si>
  <si>
    <t>MŽP - Podpora udržitelného využ.zdr.energie–EU–IV</t>
  </si>
  <si>
    <t>SFŽP - OP životní prostředí (2007-2013) - spolufinancování - IV</t>
  </si>
  <si>
    <t>MŠMT - Rozvojový program na podporu školních psychologů, speciálních pedagogů a metodiků - specialistů</t>
  </si>
  <si>
    <t>RSSM - ROP RS Střední Morava - IV - EU</t>
  </si>
  <si>
    <t>Neinv.přijaté transfery od mezinár.institucí</t>
  </si>
  <si>
    <t>konsolidace 30-75,10,11</t>
  </si>
  <si>
    <t>dle sestavy UCRSB 351</t>
  </si>
  <si>
    <t>UZ (dle číselníku MF)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</si>
</sst>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0,000"/>
    <numFmt numFmtId="167" formatCode="0\6\5\1\7\7\7\8"/>
  </numFmts>
  <fonts count="58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charset val="238"/>
    </font>
    <font>
      <sz val="10"/>
      <name val="Arial"/>
      <family val="2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name val="Arial CE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  <font>
      <sz val="8"/>
      <color indexed="9"/>
      <name val="Arial CE"/>
      <charset val="238"/>
    </font>
    <font>
      <sz val="12"/>
      <color indexed="9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12"/>
      <color rgb="FFFF0000"/>
      <name val="Arial CE"/>
      <charset val="238"/>
    </font>
    <font>
      <i/>
      <sz val="8"/>
      <name val="Arial CE"/>
      <family val="2"/>
      <charset val="238"/>
    </font>
    <font>
      <sz val="10"/>
      <color rgb="FFFF00FF"/>
      <name val="Arial CE"/>
      <charset val="238"/>
    </font>
    <font>
      <b/>
      <sz val="8"/>
      <name val="Arial CE"/>
      <charset val="238"/>
    </font>
    <font>
      <i/>
      <sz val="10"/>
      <name val="Arial CE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family val="2"/>
      <charset val="238"/>
    </font>
    <font>
      <b/>
      <sz val="14"/>
      <name val="Arial CE"/>
      <charset val="238"/>
    </font>
    <font>
      <b/>
      <sz val="11"/>
      <color theme="0"/>
      <name val="Arial CE"/>
      <charset val="238"/>
    </font>
    <font>
      <sz val="7.5"/>
      <name val="Arial CE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FF0000"/>
      <name val="Arial CE"/>
      <family val="2"/>
      <charset val="238"/>
    </font>
    <font>
      <b/>
      <i/>
      <sz val="8"/>
      <color rgb="FFFF0000"/>
      <name val="Arial CE"/>
      <family val="2"/>
      <charset val="238"/>
    </font>
    <font>
      <i/>
      <sz val="8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11"/>
      <color rgb="FFFF0000"/>
      <name val="Arial CE"/>
      <charset val="238"/>
    </font>
    <font>
      <sz val="8"/>
      <color rgb="FFFF00FF"/>
      <name val="Arial CE"/>
      <family val="2"/>
      <charset val="238"/>
    </font>
    <font>
      <sz val="11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3" fontId="0" fillId="0" borderId="0"/>
  </cellStyleXfs>
  <cellXfs count="518">
    <xf numFmtId="3" fontId="0" fillId="0" borderId="0" xfId="0"/>
    <xf numFmtId="165" fontId="9" fillId="0" borderId="2" xfId="0" applyNumberFormat="1" applyFont="1" applyFill="1" applyBorder="1"/>
    <xf numFmtId="3" fontId="9" fillId="0" borderId="0" xfId="0" applyFont="1" applyFill="1" applyBorder="1"/>
    <xf numFmtId="3" fontId="4" fillId="0" borderId="3" xfId="0" applyFont="1" applyFill="1" applyBorder="1"/>
    <xf numFmtId="3" fontId="18" fillId="0" borderId="0" xfId="0" applyFont="1" applyFill="1"/>
    <xf numFmtId="3" fontId="0" fillId="0" borderId="0" xfId="0" applyFill="1"/>
    <xf numFmtId="3" fontId="12" fillId="0" borderId="0" xfId="0" applyFont="1" applyFill="1"/>
    <xf numFmtId="3" fontId="0" fillId="0" borderId="0" xfId="0" applyFill="1" applyAlignment="1">
      <alignment horizontal="right"/>
    </xf>
    <xf numFmtId="3" fontId="2" fillId="0" borderId="4" xfId="0" applyFont="1" applyFill="1" applyBorder="1" applyAlignment="1">
      <alignment horizontal="center"/>
    </xf>
    <xf numFmtId="3" fontId="15" fillId="0" borderId="5" xfId="0" applyFont="1" applyFill="1" applyBorder="1" applyAlignment="1">
      <alignment horizontal="center" vertical="center"/>
    </xf>
    <xf numFmtId="3" fontId="15" fillId="0" borderId="6" xfId="0" applyFont="1" applyFill="1" applyBorder="1" applyAlignment="1">
      <alignment horizontal="center" vertical="center"/>
    </xf>
    <xf numFmtId="3" fontId="15" fillId="0" borderId="0" xfId="0" applyFont="1" applyFill="1" applyAlignment="1">
      <alignment horizontal="center"/>
    </xf>
    <xf numFmtId="3" fontId="15" fillId="0" borderId="4" xfId="0" applyFont="1" applyFill="1" applyBorder="1" applyAlignment="1">
      <alignment horizontal="center"/>
    </xf>
    <xf numFmtId="3" fontId="15" fillId="0" borderId="7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left" wrapText="1"/>
    </xf>
    <xf numFmtId="3" fontId="5" fillId="0" borderId="0" xfId="0" applyFont="1" applyFill="1"/>
    <xf numFmtId="1" fontId="17" fillId="0" borderId="12" xfId="0" applyNumberFormat="1" applyFont="1" applyFill="1" applyBorder="1" applyAlignment="1">
      <alignment horizontal="left"/>
    </xf>
    <xf numFmtId="165" fontId="10" fillId="0" borderId="2" xfId="0" applyNumberFormat="1" applyFont="1" applyFill="1" applyBorder="1"/>
    <xf numFmtId="3" fontId="22" fillId="0" borderId="0" xfId="0" applyFont="1" applyFill="1"/>
    <xf numFmtId="3" fontId="22" fillId="0" borderId="0" xfId="0" applyFont="1" applyFill="1" applyAlignment="1">
      <alignment horizontal="right"/>
    </xf>
    <xf numFmtId="3" fontId="2" fillId="0" borderId="4" xfId="0" applyFont="1" applyFill="1" applyBorder="1"/>
    <xf numFmtId="3" fontId="15" fillId="0" borderId="0" xfId="0" applyFont="1" applyFill="1"/>
    <xf numFmtId="3" fontId="10" fillId="0" borderId="13" xfId="0" applyFont="1" applyFill="1" applyBorder="1"/>
    <xf numFmtId="165" fontId="12" fillId="0" borderId="15" xfId="0" applyNumberFormat="1" applyFont="1" applyFill="1" applyBorder="1"/>
    <xf numFmtId="1" fontId="12" fillId="0" borderId="16" xfId="0" applyNumberFormat="1" applyFont="1" applyFill="1" applyBorder="1" applyAlignment="1">
      <alignment horizontal="left" wrapText="1"/>
    </xf>
    <xf numFmtId="165" fontId="12" fillId="0" borderId="17" xfId="0" applyNumberFormat="1" applyFont="1" applyFill="1" applyBorder="1"/>
    <xf numFmtId="3" fontId="0" fillId="0" borderId="0" xfId="0" applyFill="1" applyBorder="1"/>
    <xf numFmtId="1" fontId="6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3" fontId="9" fillId="0" borderId="0" xfId="0" applyFont="1" applyFill="1"/>
    <xf numFmtId="3" fontId="9" fillId="0" borderId="0" xfId="0" applyFont="1" applyFill="1" applyAlignment="1">
      <alignment horizontal="right"/>
    </xf>
    <xf numFmtId="3" fontId="16" fillId="0" borderId="0" xfId="0" applyFont="1" applyFill="1" applyAlignment="1">
      <alignment horizontal="right"/>
    </xf>
    <xf numFmtId="1" fontId="8" fillId="0" borderId="18" xfId="0" applyNumberFormat="1" applyFont="1" applyFill="1" applyBorder="1" applyAlignment="1">
      <alignment horizontal="center" vertical="center"/>
    </xf>
    <xf numFmtId="3" fontId="8" fillId="0" borderId="18" xfId="0" applyFont="1" applyFill="1" applyBorder="1" applyAlignment="1">
      <alignment horizontal="center" vertical="center"/>
    </xf>
    <xf numFmtId="3" fontId="15" fillId="0" borderId="18" xfId="0" applyFont="1" applyFill="1" applyBorder="1" applyAlignment="1">
      <alignment horizontal="center" vertical="center"/>
    </xf>
    <xf numFmtId="3" fontId="15" fillId="0" borderId="19" xfId="0" applyFont="1" applyFill="1" applyBorder="1" applyAlignment="1">
      <alignment horizontal="center" vertical="center"/>
    </xf>
    <xf numFmtId="3" fontId="8" fillId="0" borderId="0" xfId="0" applyFont="1" applyFill="1"/>
    <xf numFmtId="3" fontId="21" fillId="0" borderId="0" xfId="0" applyFont="1" applyFill="1" applyAlignment="1">
      <alignment vertical="center"/>
    </xf>
    <xf numFmtId="3" fontId="8" fillId="0" borderId="0" xfId="0" applyFont="1" applyFill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vertical="center" wrapText="1"/>
    </xf>
    <xf numFmtId="3" fontId="4" fillId="0" borderId="20" xfId="0" applyFont="1" applyFill="1" applyBorder="1" applyAlignment="1"/>
    <xf numFmtId="1" fontId="3" fillId="0" borderId="3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3" fontId="3" fillId="0" borderId="3" xfId="0" applyFont="1" applyFill="1" applyBorder="1" applyAlignment="1"/>
    <xf numFmtId="3" fontId="4" fillId="0" borderId="3" xfId="0" applyFont="1" applyFill="1" applyBorder="1" applyAlignment="1"/>
    <xf numFmtId="3" fontId="5" fillId="0" borderId="0" xfId="0" applyFont="1" applyFill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 vertical="top"/>
    </xf>
    <xf numFmtId="3" fontId="10" fillId="0" borderId="0" xfId="0" applyFont="1" applyAlignment="1">
      <alignment vertical="top" wrapText="1"/>
    </xf>
    <xf numFmtId="3" fontId="10" fillId="0" borderId="0" xfId="0" applyFont="1" applyAlignment="1">
      <alignment vertical="top"/>
    </xf>
    <xf numFmtId="3" fontId="4" fillId="0" borderId="0" xfId="0" applyFont="1" applyAlignment="1"/>
    <xf numFmtId="3" fontId="10" fillId="0" borderId="0" xfId="0" applyFont="1" applyFill="1" applyBorder="1" applyAlignment="1"/>
    <xf numFmtId="3" fontId="17" fillId="0" borderId="3" xfId="0" applyFont="1" applyFill="1" applyBorder="1"/>
    <xf numFmtId="3" fontId="17" fillId="0" borderId="3" xfId="0" applyFont="1" applyFill="1" applyBorder="1" applyAlignment="1">
      <alignment horizontal="right"/>
    </xf>
    <xf numFmtId="3" fontId="17" fillId="0" borderId="3" xfId="0" applyFont="1" applyFill="1" applyBorder="1" applyAlignment="1">
      <alignment horizontal="right" vertical="top"/>
    </xf>
    <xf numFmtId="3" fontId="4" fillId="0" borderId="0" xfId="0" applyFont="1" applyFill="1" applyBorder="1" applyAlignment="1">
      <alignment vertical="top"/>
    </xf>
    <xf numFmtId="3" fontId="4" fillId="0" borderId="0" xfId="0" applyFont="1" applyFill="1" applyBorder="1" applyAlignment="1"/>
    <xf numFmtId="165" fontId="10" fillId="0" borderId="21" xfId="0" applyNumberFormat="1" applyFont="1" applyFill="1" applyBorder="1"/>
    <xf numFmtId="165" fontId="9" fillId="0" borderId="21" xfId="0" applyNumberFormat="1" applyFont="1" applyFill="1" applyBorder="1"/>
    <xf numFmtId="3" fontId="10" fillId="0" borderId="0" xfId="0" applyFont="1" applyFill="1" applyBorder="1" applyAlignment="1">
      <alignment vertical="top" wrapText="1"/>
    </xf>
    <xf numFmtId="3" fontId="10" fillId="0" borderId="0" xfId="0" applyFont="1" applyFill="1" applyBorder="1" applyAlignment="1">
      <alignment vertical="top"/>
    </xf>
    <xf numFmtId="49" fontId="11" fillId="0" borderId="3" xfId="0" applyNumberFormat="1" applyFont="1" applyBorder="1" applyAlignment="1">
      <alignment horizontal="left" vertical="top"/>
    </xf>
    <xf numFmtId="49" fontId="11" fillId="0" borderId="3" xfId="0" applyNumberFormat="1" applyFont="1" applyBorder="1" applyAlignment="1">
      <alignment horizontal="left"/>
    </xf>
    <xf numFmtId="166" fontId="11" fillId="0" borderId="3" xfId="0" applyNumberFormat="1" applyFont="1" applyBorder="1" applyAlignment="1">
      <alignment horizontal="left" vertical="top"/>
    </xf>
    <xf numFmtId="167" fontId="11" fillId="0" borderId="3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/>
    <xf numFmtId="3" fontId="12" fillId="0" borderId="22" xfId="0" applyNumberFormat="1" applyFont="1" applyFill="1" applyBorder="1"/>
    <xf numFmtId="3" fontId="25" fillId="0" borderId="0" xfId="0" applyNumberFormat="1" applyFont="1" applyFill="1" applyBorder="1" applyAlignment="1">
      <alignment horizontal="right" vertical="center" wrapText="1"/>
    </xf>
    <xf numFmtId="3" fontId="8" fillId="0" borderId="24" xfId="0" applyFont="1" applyFill="1" applyBorder="1" applyAlignment="1">
      <alignment horizontal="center" vertical="center"/>
    </xf>
    <xf numFmtId="165" fontId="4" fillId="0" borderId="21" xfId="0" applyNumberFormat="1" applyFont="1" applyFill="1" applyBorder="1"/>
    <xf numFmtId="49" fontId="8" fillId="0" borderId="4" xfId="0" applyNumberFormat="1" applyFont="1" applyFill="1" applyBorder="1" applyAlignment="1">
      <alignment horizontal="center"/>
    </xf>
    <xf numFmtId="165" fontId="4" fillId="0" borderId="2" xfId="0" applyNumberFormat="1" applyFont="1" applyFill="1" applyBorder="1"/>
    <xf numFmtId="3" fontId="9" fillId="0" borderId="3" xfId="0" applyFont="1" applyFill="1" applyBorder="1"/>
    <xf numFmtId="3" fontId="25" fillId="0" borderId="3" xfId="0" applyNumberFormat="1" applyFont="1" applyFill="1" applyBorder="1" applyAlignment="1">
      <alignment horizontal="right" vertical="center" wrapText="1"/>
    </xf>
    <xf numFmtId="3" fontId="25" fillId="0" borderId="3" xfId="0" applyNumberFormat="1" applyFont="1" applyFill="1" applyBorder="1" applyAlignment="1">
      <alignment horizontal="right" vertical="center"/>
    </xf>
    <xf numFmtId="3" fontId="20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3" fontId="20" fillId="0" borderId="25" xfId="0" applyFont="1" applyFill="1" applyBorder="1" applyAlignment="1">
      <alignment horizontal="center" vertical="center"/>
    </xf>
    <xf numFmtId="3" fontId="20" fillId="0" borderId="26" xfId="0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3" fontId="10" fillId="0" borderId="0" xfId="0" applyFont="1" applyBorder="1" applyAlignment="1">
      <alignment horizontal="left"/>
    </xf>
    <xf numFmtId="3" fontId="7" fillId="0" borderId="29" xfId="0" applyFont="1" applyFill="1" applyBorder="1" applyAlignment="1">
      <alignment horizontal="left"/>
    </xf>
    <xf numFmtId="3" fontId="5" fillId="0" borderId="29" xfId="0" applyFont="1" applyFill="1" applyBorder="1"/>
    <xf numFmtId="166" fontId="13" fillId="0" borderId="29" xfId="0" applyNumberFormat="1" applyFont="1" applyFill="1" applyBorder="1" applyAlignment="1">
      <alignment horizontal="center"/>
    </xf>
    <xf numFmtId="3" fontId="14" fillId="2" borderId="30" xfId="0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/>
    <xf numFmtId="3" fontId="3" fillId="0" borderId="3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/>
    <xf numFmtId="1" fontId="3" fillId="0" borderId="20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1" xfId="0" applyNumberFormat="1" applyFont="1" applyFill="1" applyBorder="1" applyAlignment="1">
      <alignment vertical="center" wrapText="1"/>
    </xf>
    <xf numFmtId="3" fontId="10" fillId="0" borderId="3" xfId="0" applyFont="1" applyFill="1" applyBorder="1" applyAlignment="1"/>
    <xf numFmtId="3" fontId="26" fillId="2" borderId="29" xfId="0" applyFont="1" applyFill="1" applyBorder="1" applyAlignment="1">
      <alignment horizontal="left" vertical="center"/>
    </xf>
    <xf numFmtId="165" fontId="27" fillId="2" borderId="14" xfId="0" applyNumberFormat="1" applyFont="1" applyFill="1" applyBorder="1" applyAlignment="1">
      <alignment vertical="center" wrapText="1"/>
    </xf>
    <xf numFmtId="3" fontId="28" fillId="2" borderId="29" xfId="0" applyFont="1" applyFill="1" applyBorder="1"/>
    <xf numFmtId="165" fontId="27" fillId="2" borderId="14" xfId="0" applyNumberFormat="1" applyFont="1" applyFill="1" applyBorder="1"/>
    <xf numFmtId="1" fontId="28" fillId="2" borderId="1" xfId="0" applyNumberFormat="1" applyFont="1" applyFill="1" applyBorder="1" applyAlignment="1"/>
    <xf numFmtId="1" fontId="28" fillId="2" borderId="29" xfId="0" applyNumberFormat="1" applyFont="1" applyFill="1" applyBorder="1" applyAlignment="1">
      <alignment horizontal="center"/>
    </xf>
    <xf numFmtId="166" fontId="28" fillId="2" borderId="1" xfId="0" applyNumberFormat="1" applyFont="1" applyFill="1" applyBorder="1" applyAlignment="1">
      <alignment horizontal="center"/>
    </xf>
    <xf numFmtId="1" fontId="28" fillId="2" borderId="1" xfId="0" applyNumberFormat="1" applyFont="1" applyFill="1" applyBorder="1" applyAlignment="1">
      <alignment horizontal="center"/>
    </xf>
    <xf numFmtId="165" fontId="28" fillId="2" borderId="14" xfId="0" applyNumberFormat="1" applyFont="1" applyFill="1" applyBorder="1"/>
    <xf numFmtId="49" fontId="28" fillId="2" borderId="35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3" fontId="10" fillId="0" borderId="0" xfId="0" applyFont="1" applyAlignment="1"/>
    <xf numFmtId="3" fontId="23" fillId="0" borderId="0" xfId="0" applyFont="1"/>
    <xf numFmtId="165" fontId="9" fillId="0" borderId="2" xfId="0" applyNumberFormat="1" applyFont="1" applyFill="1" applyBorder="1" applyAlignment="1">
      <alignment vertical="top"/>
    </xf>
    <xf numFmtId="3" fontId="23" fillId="0" borderId="0" xfId="0" applyFont="1" applyAlignment="1"/>
    <xf numFmtId="1" fontId="28" fillId="3" borderId="3" xfId="0" applyNumberFormat="1" applyFont="1" applyFill="1" applyBorder="1" applyAlignment="1"/>
    <xf numFmtId="3" fontId="28" fillId="3" borderId="0" xfId="0" applyFont="1" applyFill="1" applyBorder="1"/>
    <xf numFmtId="1" fontId="28" fillId="3" borderId="0" xfId="0" applyNumberFormat="1" applyFont="1" applyFill="1" applyBorder="1" applyAlignment="1">
      <alignment horizontal="center"/>
    </xf>
    <xf numFmtId="1" fontId="28" fillId="3" borderId="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15" fillId="3" borderId="8" xfId="0" applyNumberFormat="1" applyFont="1" applyFill="1" applyBorder="1" applyAlignment="1">
      <alignment horizontal="center"/>
    </xf>
    <xf numFmtId="1" fontId="28" fillId="3" borderId="20" xfId="0" applyNumberFormat="1" applyFont="1" applyFill="1" applyBorder="1" applyAlignment="1">
      <alignment horizontal="center"/>
    </xf>
    <xf numFmtId="49" fontId="15" fillId="3" borderId="37" xfId="0" applyNumberFormat="1" applyFont="1" applyFill="1" applyBorder="1" applyAlignment="1">
      <alignment horizontal="center"/>
    </xf>
    <xf numFmtId="4" fontId="15" fillId="0" borderId="0" xfId="0" applyNumberFormat="1" applyFont="1" applyFill="1"/>
    <xf numFmtId="49" fontId="8" fillId="0" borderId="38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/>
    </xf>
    <xf numFmtId="3" fontId="17" fillId="0" borderId="31" xfId="0" applyFont="1" applyFill="1" applyBorder="1" applyAlignment="1">
      <alignment horizontal="right"/>
    </xf>
    <xf numFmtId="3" fontId="30" fillId="0" borderId="0" xfId="0" applyFont="1" applyFill="1" applyAlignment="1">
      <alignment horizontal="center"/>
    </xf>
    <xf numFmtId="3" fontId="30" fillId="0" borderId="0" xfId="0" applyFont="1" applyFill="1"/>
    <xf numFmtId="4" fontId="30" fillId="0" borderId="0" xfId="0" applyNumberFormat="1" applyFont="1" applyFill="1"/>
    <xf numFmtId="49" fontId="30" fillId="0" borderId="0" xfId="0" applyNumberFormat="1" applyFont="1" applyFill="1" applyBorder="1" applyAlignment="1">
      <alignment horizontal="right"/>
    </xf>
    <xf numFmtId="1" fontId="23" fillId="0" borderId="3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right" wrapText="1"/>
    </xf>
    <xf numFmtId="164" fontId="25" fillId="0" borderId="2" xfId="0" applyNumberFormat="1" applyFont="1" applyFill="1" applyBorder="1" applyAlignment="1">
      <alignment horizontal="right" wrapText="1"/>
    </xf>
    <xf numFmtId="49" fontId="11" fillId="0" borderId="3" xfId="0" applyNumberFormat="1" applyFont="1" applyBorder="1" applyAlignment="1">
      <alignment horizontal="left" vertical="center"/>
    </xf>
    <xf numFmtId="3" fontId="4" fillId="0" borderId="0" xfId="0" applyFont="1" applyAlignment="1">
      <alignment vertical="top" wrapText="1"/>
    </xf>
    <xf numFmtId="3" fontId="4" fillId="0" borderId="0" xfId="0" applyFont="1" applyAlignment="1">
      <alignment vertical="top"/>
    </xf>
    <xf numFmtId="3" fontId="25" fillId="0" borderId="0" xfId="0" applyFont="1" applyFill="1" applyBorder="1" applyAlignment="1">
      <alignment horizontal="left" vertical="top"/>
    </xf>
    <xf numFmtId="3" fontId="4" fillId="0" borderId="0" xfId="0" applyFont="1" applyFill="1" applyBorder="1" applyAlignment="1">
      <alignment vertical="top" wrapText="1"/>
    </xf>
    <xf numFmtId="3" fontId="0" fillId="0" borderId="0" xfId="0" applyFont="1" applyAlignment="1">
      <alignment vertical="top"/>
    </xf>
    <xf numFmtId="3" fontId="3" fillId="0" borderId="0" xfId="0" applyFont="1" applyAlignment="1">
      <alignment vertical="top"/>
    </xf>
    <xf numFmtId="4" fontId="8" fillId="0" borderId="0" xfId="0" applyNumberFormat="1" applyFont="1" applyFill="1"/>
    <xf numFmtId="3" fontId="0" fillId="0" borderId="3" xfId="0" applyFont="1" applyBorder="1" applyAlignment="1">
      <alignment wrapText="1"/>
    </xf>
    <xf numFmtId="49" fontId="28" fillId="4" borderId="20" xfId="0" applyNumberFormat="1" applyFont="1" applyFill="1" applyBorder="1" applyAlignment="1">
      <alignment horizontal="left" vertical="top"/>
    </xf>
    <xf numFmtId="3" fontId="26" fillId="4" borderId="0" xfId="0" applyFont="1" applyFill="1" applyBorder="1" applyAlignment="1">
      <alignment horizontal="left" vertical="center"/>
    </xf>
    <xf numFmtId="3" fontId="28" fillId="4" borderId="0" xfId="0" applyFont="1" applyFill="1" applyBorder="1"/>
    <xf numFmtId="49" fontId="15" fillId="4" borderId="8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65" fontId="10" fillId="4" borderId="21" xfId="0" applyNumberFormat="1" applyFont="1" applyFill="1" applyBorder="1"/>
    <xf numFmtId="1" fontId="28" fillId="4" borderId="0" xfId="0" applyNumberFormat="1" applyFont="1" applyFill="1" applyBorder="1" applyAlignment="1">
      <alignment horizontal="center"/>
    </xf>
    <xf numFmtId="49" fontId="28" fillId="4" borderId="0" xfId="0" applyNumberFormat="1" applyFont="1" applyFill="1" applyBorder="1" applyAlignment="1">
      <alignment horizontal="center"/>
    </xf>
    <xf numFmtId="1" fontId="28" fillId="4" borderId="0" xfId="0" applyNumberFormat="1" applyFont="1" applyFill="1" applyBorder="1" applyAlignment="1"/>
    <xf numFmtId="3" fontId="4" fillId="0" borderId="0" xfId="0" applyFont="1" applyBorder="1" applyAlignment="1"/>
    <xf numFmtId="49" fontId="28" fillId="4" borderId="0" xfId="0" applyNumberFormat="1" applyFont="1" applyFill="1" applyBorder="1" applyAlignment="1">
      <alignment horizontal="left" vertical="top"/>
    </xf>
    <xf numFmtId="3" fontId="20" fillId="0" borderId="0" xfId="0" applyFont="1" applyFill="1" applyBorder="1" applyAlignment="1">
      <alignment horizontal="center" vertical="center"/>
    </xf>
    <xf numFmtId="1" fontId="28" fillId="4" borderId="20" xfId="0" applyNumberFormat="1" applyFont="1" applyFill="1" applyBorder="1" applyAlignment="1">
      <alignment horizontal="center"/>
    </xf>
    <xf numFmtId="3" fontId="23" fillId="4" borderId="0" xfId="0" applyFont="1" applyFill="1" applyBorder="1" applyAlignment="1">
      <alignment horizontal="left" vertical="center"/>
    </xf>
    <xf numFmtId="3" fontId="9" fillId="4" borderId="3" xfId="0" applyFont="1" applyFill="1" applyBorder="1"/>
    <xf numFmtId="1" fontId="28" fillId="4" borderId="3" xfId="0" applyNumberFormat="1" applyFont="1" applyFill="1" applyBorder="1" applyAlignment="1">
      <alignment horizontal="center"/>
    </xf>
    <xf numFmtId="49" fontId="15" fillId="3" borderId="8" xfId="0" applyNumberFormat="1" applyFont="1" applyFill="1" applyBorder="1" applyAlignment="1">
      <alignment horizontal="center" vertical="center"/>
    </xf>
    <xf numFmtId="3" fontId="0" fillId="0" borderId="0" xfId="0" applyFont="1" applyFill="1"/>
    <xf numFmtId="3" fontId="9" fillId="0" borderId="3" xfId="0" applyNumberFormat="1" applyFont="1" applyFill="1" applyBorder="1"/>
    <xf numFmtId="3" fontId="19" fillId="0" borderId="8" xfId="0" applyFont="1" applyFill="1" applyBorder="1"/>
    <xf numFmtId="3" fontId="19" fillId="0" borderId="13" xfId="0" applyFont="1" applyFill="1" applyBorder="1"/>
    <xf numFmtId="3" fontId="4" fillId="4" borderId="3" xfId="0" applyFont="1" applyFill="1" applyBorder="1"/>
    <xf numFmtId="3" fontId="4" fillId="4" borderId="0" xfId="0" applyFont="1" applyFill="1" applyBorder="1"/>
    <xf numFmtId="3" fontId="4" fillId="4" borderId="0" xfId="0" applyFont="1" applyFill="1" applyBorder="1" applyAlignment="1">
      <alignment horizontal="right"/>
    </xf>
    <xf numFmtId="3" fontId="17" fillId="4" borderId="3" xfId="0" applyFont="1" applyFill="1" applyBorder="1"/>
    <xf numFmtId="3" fontId="4" fillId="4" borderId="3" xfId="0" applyFont="1" applyFill="1" applyBorder="1" applyAlignment="1">
      <alignment vertical="top"/>
    </xf>
    <xf numFmtId="3" fontId="10" fillId="4" borderId="3" xfId="0" applyFont="1" applyFill="1" applyBorder="1"/>
    <xf numFmtId="3" fontId="10" fillId="4" borderId="0" xfId="0" applyFont="1" applyFill="1" applyBorder="1"/>
    <xf numFmtId="3" fontId="9" fillId="4" borderId="0" xfId="0" applyFont="1" applyFill="1" applyBorder="1"/>
    <xf numFmtId="3" fontId="17" fillId="4" borderId="0" xfId="0" applyFont="1" applyFill="1" applyBorder="1"/>
    <xf numFmtId="3" fontId="17" fillId="4" borderId="3" xfId="0" applyFont="1" applyFill="1" applyBorder="1" applyAlignment="1">
      <alignment horizontal="right"/>
    </xf>
    <xf numFmtId="3" fontId="4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 vertical="top"/>
    </xf>
    <xf numFmtId="3" fontId="17" fillId="4" borderId="3" xfId="0" applyFont="1" applyFill="1" applyBorder="1" applyAlignment="1">
      <alignment horizontal="right" vertical="top"/>
    </xf>
    <xf numFmtId="3" fontId="17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center"/>
    </xf>
    <xf numFmtId="3" fontId="10" fillId="4" borderId="0" xfId="0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3" xfId="0" applyFont="1" applyFill="1" applyBorder="1" applyAlignment="1">
      <alignment horizontal="right" vertical="center"/>
    </xf>
    <xf numFmtId="3" fontId="25" fillId="4" borderId="3" xfId="0" applyNumberFormat="1" applyFont="1" applyFill="1" applyBorder="1" applyAlignment="1">
      <alignment horizontal="right" vertical="center"/>
    </xf>
    <xf numFmtId="3" fontId="25" fillId="4" borderId="0" xfId="0" applyNumberFormat="1" applyFont="1" applyFill="1" applyBorder="1" applyAlignment="1">
      <alignment horizontal="right" vertical="center" wrapText="1"/>
    </xf>
    <xf numFmtId="3" fontId="25" fillId="4" borderId="3" xfId="0" applyNumberFormat="1" applyFont="1" applyFill="1" applyBorder="1" applyAlignment="1">
      <alignment horizontal="right" vertical="center" wrapText="1"/>
    </xf>
    <xf numFmtId="3" fontId="25" fillId="4" borderId="3" xfId="0" applyFont="1" applyFill="1" applyBorder="1" applyAlignment="1">
      <alignment horizontal="right" vertical="center"/>
    </xf>
    <xf numFmtId="1" fontId="25" fillId="4" borderId="0" xfId="0" applyNumberFormat="1" applyFont="1" applyFill="1" applyBorder="1" applyAlignment="1">
      <alignment horizontal="right" vertical="center" wrapText="1"/>
    </xf>
    <xf numFmtId="1" fontId="25" fillId="4" borderId="3" xfId="0" applyNumberFormat="1" applyFont="1" applyFill="1" applyBorder="1" applyAlignment="1">
      <alignment horizontal="right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65" fontId="9" fillId="4" borderId="21" xfId="0" applyNumberFormat="1" applyFont="1" applyFill="1" applyBorder="1"/>
    <xf numFmtId="165" fontId="9" fillId="0" borderId="15" xfId="0" applyNumberFormat="1" applyFont="1" applyFill="1" applyBorder="1"/>
    <xf numFmtId="4" fontId="33" fillId="0" borderId="0" xfId="0" applyNumberFormat="1" applyFont="1" applyFill="1"/>
    <xf numFmtId="3" fontId="32" fillId="0" borderId="0" xfId="0" applyFont="1" applyFill="1" applyBorder="1"/>
    <xf numFmtId="3" fontId="32" fillId="0" borderId="0" xfId="0" applyFont="1" applyFill="1"/>
    <xf numFmtId="3" fontId="33" fillId="0" borderId="0" xfId="0" applyFont="1" applyFill="1" applyBorder="1" applyAlignment="1">
      <alignment horizontal="center"/>
    </xf>
    <xf numFmtId="3" fontId="33" fillId="0" borderId="0" xfId="0" applyFont="1" applyFill="1" applyAlignment="1">
      <alignment horizontal="center"/>
    </xf>
    <xf numFmtId="3" fontId="34" fillId="0" borderId="0" xfId="0" applyFont="1" applyFill="1"/>
    <xf numFmtId="3" fontId="33" fillId="0" borderId="0" xfId="0" applyFont="1" applyFill="1"/>
    <xf numFmtId="4" fontId="20" fillId="0" borderId="0" xfId="0" applyNumberFormat="1" applyFont="1" applyFill="1" applyAlignment="1">
      <alignment vertical="center"/>
    </xf>
    <xf numFmtId="165" fontId="9" fillId="0" borderId="41" xfId="0" applyNumberFormat="1" applyFont="1" applyFill="1" applyBorder="1"/>
    <xf numFmtId="3" fontId="17" fillId="0" borderId="31" xfId="0" applyFont="1" applyFill="1" applyBorder="1"/>
    <xf numFmtId="4" fontId="8" fillId="0" borderId="0" xfId="0" applyNumberFormat="1" applyFont="1" applyFill="1" applyBorder="1"/>
    <xf numFmtId="165" fontId="27" fillId="2" borderId="14" xfId="0" applyNumberFormat="1" applyFont="1" applyFill="1" applyBorder="1" applyAlignment="1">
      <alignment shrinkToFit="1"/>
    </xf>
    <xf numFmtId="3" fontId="10" fillId="4" borderId="0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top"/>
    </xf>
    <xf numFmtId="3" fontId="23" fillId="0" borderId="3" xfId="0" applyFont="1" applyBorder="1"/>
    <xf numFmtId="3" fontId="9" fillId="0" borderId="0" xfId="0" applyFont="1" applyFill="1" applyBorder="1" applyAlignment="1">
      <alignment horizontal="right"/>
    </xf>
    <xf numFmtId="3" fontId="10" fillId="4" borderId="23" xfId="0" applyFont="1" applyFill="1" applyBorder="1"/>
    <xf numFmtId="3" fontId="4" fillId="4" borderId="23" xfId="0" applyFont="1" applyFill="1" applyBorder="1"/>
    <xf numFmtId="3" fontId="4" fillId="4" borderId="23" xfId="0" applyFont="1" applyFill="1" applyBorder="1" applyAlignment="1">
      <alignment horizontal="right" vertical="top"/>
    </xf>
    <xf numFmtId="4" fontId="8" fillId="0" borderId="0" xfId="0" applyNumberFormat="1" applyFont="1" applyFill="1" applyAlignment="1">
      <alignment vertical="center" wrapText="1"/>
    </xf>
    <xf numFmtId="4" fontId="29" fillId="0" borderId="0" xfId="0" applyNumberFormat="1" applyFont="1" applyFill="1"/>
    <xf numFmtId="4" fontId="35" fillId="4" borderId="0" xfId="0" applyNumberFormat="1" applyFont="1" applyFill="1" applyBorder="1"/>
    <xf numFmtId="3" fontId="28" fillId="4" borderId="3" xfId="0" applyFont="1" applyFill="1" applyBorder="1"/>
    <xf numFmtId="3" fontId="28" fillId="4" borderId="0" xfId="0" applyFont="1" applyFill="1" applyBorder="1" applyAlignment="1">
      <alignment horizontal="right" vertical="top"/>
    </xf>
    <xf numFmtId="49" fontId="16" fillId="4" borderId="20" xfId="0" applyNumberFormat="1" applyFont="1" applyFill="1" applyBorder="1" applyAlignment="1">
      <alignment horizontal="left" vertical="top"/>
    </xf>
    <xf numFmtId="3" fontId="10" fillId="4" borderId="0" xfId="0" applyFont="1" applyFill="1" applyBorder="1" applyAlignment="1">
      <alignment horizontal="right" vertical="top"/>
    </xf>
    <xf numFmtId="3" fontId="10" fillId="4" borderId="23" xfId="0" applyFont="1" applyFill="1" applyBorder="1" applyAlignment="1">
      <alignment horizontal="right" vertical="top"/>
    </xf>
    <xf numFmtId="3" fontId="17" fillId="4" borderId="23" xfId="0" applyFont="1" applyFill="1" applyBorder="1"/>
    <xf numFmtId="3" fontId="9" fillId="4" borderId="23" xfId="0" applyFont="1" applyFill="1" applyBorder="1"/>
    <xf numFmtId="3" fontId="9" fillId="4" borderId="3" xfId="0" applyFont="1" applyFill="1" applyBorder="1" applyAlignment="1">
      <alignment horizontal="right"/>
    </xf>
    <xf numFmtId="3" fontId="9" fillId="4" borderId="0" xfId="0" applyFont="1" applyFill="1" applyBorder="1" applyAlignment="1">
      <alignment vertical="top"/>
    </xf>
    <xf numFmtId="3" fontId="9" fillId="4" borderId="3" xfId="0" applyFont="1" applyFill="1" applyBorder="1" applyAlignment="1">
      <alignment horizontal="right" vertical="top"/>
    </xf>
    <xf numFmtId="3" fontId="10" fillId="4" borderId="20" xfId="0" applyFont="1" applyFill="1" applyBorder="1" applyAlignment="1">
      <alignment vertical="top"/>
    </xf>
    <xf numFmtId="3" fontId="27" fillId="4" borderId="3" xfId="0" applyFont="1" applyFill="1" applyBorder="1"/>
    <xf numFmtId="3" fontId="27" fillId="3" borderId="3" xfId="0" applyFont="1" applyFill="1" applyBorder="1"/>
    <xf numFmtId="3" fontId="9" fillId="3" borderId="3" xfId="0" applyFont="1" applyFill="1" applyBorder="1"/>
    <xf numFmtId="3" fontId="9" fillId="3" borderId="3" xfId="0" applyFont="1" applyFill="1" applyBorder="1" applyAlignment="1">
      <alignment vertical="top"/>
    </xf>
    <xf numFmtId="1" fontId="28" fillId="0" borderId="3" xfId="0" applyNumberFormat="1" applyFont="1" applyFill="1" applyBorder="1" applyAlignment="1">
      <alignment horizontal="center"/>
    </xf>
    <xf numFmtId="3" fontId="27" fillId="0" borderId="3" xfId="0" applyFont="1" applyFill="1" applyBorder="1"/>
    <xf numFmtId="3" fontId="28" fillId="0" borderId="0" xfId="0" applyFont="1" applyFill="1" applyBorder="1"/>
    <xf numFmtId="1" fontId="0" fillId="0" borderId="2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left" vertical="top"/>
    </xf>
    <xf numFmtId="3" fontId="23" fillId="0" borderId="0" xfId="0" applyFont="1" applyFill="1" applyBorder="1" applyAlignment="1">
      <alignment horizontal="left" vertical="center"/>
    </xf>
    <xf numFmtId="1" fontId="0" fillId="4" borderId="20" xfId="0" applyNumberFormat="1" applyFont="1" applyFill="1" applyBorder="1" applyAlignment="1">
      <alignment horizontal="center"/>
    </xf>
    <xf numFmtId="3" fontId="11" fillId="0" borderId="0" xfId="0" applyFont="1" applyFill="1"/>
    <xf numFmtId="4" fontId="11" fillId="0" borderId="0" xfId="0" applyNumberFormat="1" applyFont="1" applyFill="1"/>
    <xf numFmtId="49" fontId="8" fillId="4" borderId="8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/>
    </xf>
    <xf numFmtId="166" fontId="11" fillId="4" borderId="20" xfId="0" applyNumberFormat="1" applyFont="1" applyFill="1" applyBorder="1" applyAlignment="1">
      <alignment horizontal="left"/>
    </xf>
    <xf numFmtId="3" fontId="4" fillId="4" borderId="3" xfId="0" applyFont="1" applyFill="1" applyBorder="1" applyAlignment="1">
      <alignment wrapText="1"/>
    </xf>
    <xf numFmtId="49" fontId="11" fillId="4" borderId="20" xfId="0" applyNumberFormat="1" applyFont="1" applyFill="1" applyBorder="1" applyAlignment="1">
      <alignment horizontal="left" vertical="top"/>
    </xf>
    <xf numFmtId="3" fontId="9" fillId="4" borderId="0" xfId="0" applyFont="1" applyFill="1"/>
    <xf numFmtId="3" fontId="9" fillId="4" borderId="30" xfId="0" applyFont="1" applyFill="1" applyBorder="1"/>
    <xf numFmtId="4" fontId="9" fillId="4" borderId="0" xfId="0" applyNumberFormat="1" applyFont="1" applyFill="1"/>
    <xf numFmtId="4" fontId="15" fillId="4" borderId="0" xfId="0" applyNumberFormat="1" applyFont="1" applyFill="1"/>
    <xf numFmtId="3" fontId="0" fillId="4" borderId="0" xfId="0" applyFont="1" applyFill="1"/>
    <xf numFmtId="166" fontId="16" fillId="4" borderId="0" xfId="0" applyNumberFormat="1" applyFont="1" applyFill="1" applyAlignment="1">
      <alignment horizontal="center"/>
    </xf>
    <xf numFmtId="1" fontId="0" fillId="4" borderId="0" xfId="0" applyNumberFormat="1" applyFont="1" applyFill="1"/>
    <xf numFmtId="3" fontId="9" fillId="4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center"/>
    </xf>
    <xf numFmtId="3" fontId="9" fillId="4" borderId="29" xfId="0" applyFont="1" applyFill="1" applyBorder="1"/>
    <xf numFmtId="166" fontId="16" fillId="4" borderId="0" xfId="0" applyNumberFormat="1" applyFont="1" applyFill="1" applyAlignment="1">
      <alignment horizontal="left"/>
    </xf>
    <xf numFmtId="1" fontId="0" fillId="4" borderId="0" xfId="0" applyNumberFormat="1" applyFont="1" applyFill="1" applyAlignment="1">
      <alignment horizontal="center"/>
    </xf>
    <xf numFmtId="4" fontId="9" fillId="4" borderId="30" xfId="0" applyNumberFormat="1" applyFont="1" applyFill="1" applyBorder="1"/>
    <xf numFmtId="3" fontId="36" fillId="0" borderId="0" xfId="0" applyFont="1" applyFill="1" applyBorder="1"/>
    <xf numFmtId="164" fontId="14" fillId="0" borderId="29" xfId="0" applyNumberFormat="1" applyFont="1" applyFill="1" applyBorder="1"/>
    <xf numFmtId="164" fontId="14" fillId="2" borderId="30" xfId="0" applyNumberFormat="1" applyFont="1" applyFill="1" applyBorder="1"/>
    <xf numFmtId="3" fontId="4" fillId="0" borderId="0" xfId="0" applyFont="1" applyFill="1" applyBorder="1"/>
    <xf numFmtId="3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/>
    <xf numFmtId="3" fontId="14" fillId="0" borderId="0" xfId="0" applyFont="1" applyFill="1" applyBorder="1"/>
    <xf numFmtId="164" fontId="14" fillId="0" borderId="0" xfId="0" applyNumberFormat="1" applyFont="1" applyFill="1" applyBorder="1"/>
    <xf numFmtId="3" fontId="0" fillId="0" borderId="0" xfId="0" applyFont="1" applyAlignment="1">
      <alignment vertical="top" wrapText="1"/>
    </xf>
    <xf numFmtId="3" fontId="10" fillId="4" borderId="3" xfId="0" applyFont="1" applyFill="1" applyBorder="1" applyAlignment="1">
      <alignment horizontal="right" vertical="top"/>
    </xf>
    <xf numFmtId="3" fontId="0" fillId="0" borderId="0" xfId="0" applyFont="1" applyFill="1" applyBorder="1" applyAlignment="1"/>
    <xf numFmtId="166" fontId="28" fillId="2" borderId="35" xfId="0" applyNumberFormat="1" applyFont="1" applyFill="1" applyBorder="1" applyAlignment="1">
      <alignment horizontal="center"/>
    </xf>
    <xf numFmtId="165" fontId="27" fillId="2" borderId="15" xfId="0" applyNumberFormat="1" applyFont="1" applyFill="1" applyBorder="1"/>
    <xf numFmtId="49" fontId="8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/>
    <xf numFmtId="1" fontId="3" fillId="0" borderId="31" xfId="0" applyNumberFormat="1" applyFont="1" applyFill="1" applyBorder="1" applyAlignment="1">
      <alignment horizontal="center"/>
    </xf>
    <xf numFmtId="49" fontId="11" fillId="0" borderId="33" xfId="0" applyNumberFormat="1" applyFont="1" applyBorder="1" applyAlignment="1">
      <alignment horizontal="left" vertical="top"/>
    </xf>
    <xf numFmtId="3" fontId="9" fillId="0" borderId="31" xfId="0" applyFont="1" applyFill="1" applyBorder="1"/>
    <xf numFmtId="3" fontId="25" fillId="0" borderId="0" xfId="0" applyFont="1" applyBorder="1"/>
    <xf numFmtId="3" fontId="10" fillId="0" borderId="3" xfId="0" applyFont="1" applyFill="1" applyBorder="1"/>
    <xf numFmtId="3" fontId="0" fillId="0" borderId="20" xfId="0" applyFont="1" applyFill="1" applyBorder="1" applyAlignment="1"/>
    <xf numFmtId="49" fontId="29" fillId="4" borderId="8" xfId="0" applyNumberFormat="1" applyFont="1" applyFill="1" applyBorder="1" applyAlignment="1">
      <alignment horizontal="center"/>
    </xf>
    <xf numFmtId="3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37" fillId="0" borderId="0" xfId="0" applyFont="1" applyFill="1"/>
    <xf numFmtId="4" fontId="8" fillId="0" borderId="29" xfId="0" applyNumberFormat="1" applyFont="1" applyFill="1" applyBorder="1"/>
    <xf numFmtId="4" fontId="29" fillId="4" borderId="0" xfId="0" applyNumberFormat="1" applyFont="1" applyFill="1" applyBorder="1"/>
    <xf numFmtId="4" fontId="35" fillId="3" borderId="0" xfId="0" applyNumberFormat="1" applyFont="1" applyFill="1" applyBorder="1"/>
    <xf numFmtId="4" fontId="35" fillId="0" borderId="0" xfId="0" applyNumberFormat="1" applyFont="1" applyFill="1" applyBorder="1"/>
    <xf numFmtId="4" fontId="9" fillId="4" borderId="29" xfId="0" applyNumberFormat="1" applyFont="1" applyFill="1" applyBorder="1"/>
    <xf numFmtId="3" fontId="15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4" fontId="0" fillId="0" borderId="0" xfId="0" applyNumberFormat="1" applyFont="1" applyFill="1" applyBorder="1"/>
    <xf numFmtId="4" fontId="1" fillId="0" borderId="0" xfId="0" applyNumberFormat="1" applyFont="1" applyFill="1" applyBorder="1"/>
    <xf numFmtId="3" fontId="0" fillId="0" borderId="0" xfId="0" applyFont="1" applyFill="1" applyBorder="1" applyAlignment="1">
      <alignment horizontal="right"/>
    </xf>
    <xf numFmtId="4" fontId="30" fillId="0" borderId="0" xfId="0" applyNumberFormat="1" applyFont="1" applyFill="1" applyBorder="1"/>
    <xf numFmtId="3" fontId="30" fillId="0" borderId="0" xfId="0" applyFont="1" applyFill="1" applyBorder="1" applyAlignment="1">
      <alignment horizontal="right"/>
    </xf>
    <xf numFmtId="3" fontId="30" fillId="0" borderId="0" xfId="0" applyFont="1" applyFill="1" applyBorder="1" applyAlignment="1">
      <alignment horizontal="left"/>
    </xf>
    <xf numFmtId="3" fontId="22" fillId="0" borderId="0" xfId="0" applyFont="1" applyFill="1" applyBorder="1"/>
    <xf numFmtId="3" fontId="31" fillId="0" borderId="0" xfId="0" applyFont="1" applyFill="1" applyBorder="1"/>
    <xf numFmtId="3" fontId="3" fillId="0" borderId="0" xfId="0" applyFont="1" applyFill="1"/>
    <xf numFmtId="3" fontId="38" fillId="4" borderId="0" xfId="0" applyFont="1" applyFill="1" applyBorder="1"/>
    <xf numFmtId="3" fontId="28" fillId="2" borderId="42" xfId="0" applyFont="1" applyFill="1" applyBorder="1"/>
    <xf numFmtId="4" fontId="28" fillId="2" borderId="42" xfId="0" applyNumberFormat="1" applyFont="1" applyFill="1" applyBorder="1"/>
    <xf numFmtId="4" fontId="38" fillId="4" borderId="0" xfId="0" applyNumberFormat="1" applyFont="1" applyFill="1" applyBorder="1"/>
    <xf numFmtId="4" fontId="28" fillId="4" borderId="0" xfId="0" applyNumberFormat="1" applyFont="1" applyFill="1" applyBorder="1"/>
    <xf numFmtId="4" fontId="10" fillId="0" borderId="0" xfId="0" applyNumberFormat="1" applyFont="1" applyFill="1" applyBorder="1"/>
    <xf numFmtId="3" fontId="9" fillId="0" borderId="3" xfId="0" applyFont="1" applyFill="1" applyBorder="1" applyAlignment="1">
      <alignment vertical="top"/>
    </xf>
    <xf numFmtId="3" fontId="23" fillId="0" borderId="3" xfId="0" applyFont="1" applyBorder="1" applyAlignment="1"/>
    <xf numFmtId="3" fontId="10" fillId="0" borderId="0" xfId="0" applyFont="1" applyBorder="1" applyAlignment="1">
      <alignment wrapText="1"/>
    </xf>
    <xf numFmtId="4" fontId="35" fillId="5" borderId="29" xfId="0" applyNumberFormat="1" applyFont="1" applyFill="1" applyBorder="1"/>
    <xf numFmtId="1" fontId="23" fillId="0" borderId="0" xfId="0" applyNumberFormat="1" applyFont="1" applyFill="1" applyBorder="1" applyAlignment="1">
      <alignment horizontal="center" vertical="center"/>
    </xf>
    <xf numFmtId="1" fontId="28" fillId="4" borderId="3" xfId="0" applyNumberFormat="1" applyFont="1" applyFill="1" applyBorder="1" applyAlignment="1"/>
    <xf numFmtId="3" fontId="27" fillId="4" borderId="36" xfId="0" applyFont="1" applyFill="1" applyBorder="1"/>
    <xf numFmtId="3" fontId="0" fillId="0" borderId="3" xfId="0" applyFont="1" applyBorder="1" applyAlignment="1"/>
    <xf numFmtId="165" fontId="28" fillId="4" borderId="21" xfId="0" applyNumberFormat="1" applyFont="1" applyFill="1" applyBorder="1"/>
    <xf numFmtId="1" fontId="39" fillId="4" borderId="3" xfId="0" applyNumberFormat="1" applyFont="1" applyFill="1" applyBorder="1" applyAlignment="1"/>
    <xf numFmtId="3" fontId="25" fillId="4" borderId="0" xfId="0" applyFont="1" applyFill="1" applyBorder="1" applyAlignment="1">
      <alignment horizontal="left" vertical="center"/>
    </xf>
    <xf numFmtId="1" fontId="0" fillId="4" borderId="3" xfId="0" applyNumberFormat="1" applyFont="1" applyFill="1" applyBorder="1" applyAlignment="1"/>
    <xf numFmtId="49" fontId="37" fillId="4" borderId="8" xfId="0" applyNumberFormat="1" applyFont="1" applyFill="1" applyBorder="1" applyAlignment="1">
      <alignment horizontal="center"/>
    </xf>
    <xf numFmtId="1" fontId="0" fillId="4" borderId="36" xfId="0" applyNumberFormat="1" applyFont="1" applyFill="1" applyBorder="1" applyAlignment="1">
      <alignment horizontal="center"/>
    </xf>
    <xf numFmtId="165" fontId="28" fillId="4" borderId="0" xfId="0" applyNumberFormat="1" applyFont="1" applyFill="1" applyBorder="1"/>
    <xf numFmtId="3" fontId="9" fillId="0" borderId="39" xfId="0" applyFont="1" applyFill="1" applyBorder="1"/>
    <xf numFmtId="49" fontId="28" fillId="2" borderId="32" xfId="0" applyNumberFormat="1" applyFont="1" applyFill="1" applyBorder="1" applyAlignment="1">
      <alignment horizontal="center"/>
    </xf>
    <xf numFmtId="1" fontId="28" fillId="2" borderId="31" xfId="0" applyNumberFormat="1" applyFont="1" applyFill="1" applyBorder="1" applyAlignment="1"/>
    <xf numFmtId="1" fontId="28" fillId="2" borderId="31" xfId="0" applyNumberFormat="1" applyFont="1" applyFill="1" applyBorder="1" applyAlignment="1">
      <alignment horizontal="center"/>
    </xf>
    <xf numFmtId="49" fontId="28" fillId="2" borderId="33" xfId="0" applyNumberFormat="1" applyFont="1" applyFill="1" applyBorder="1" applyAlignment="1">
      <alignment horizontal="left" vertical="top"/>
    </xf>
    <xf numFmtId="3" fontId="26" fillId="2" borderId="39" xfId="0" applyFont="1" applyFill="1" applyBorder="1" applyAlignment="1">
      <alignment horizontal="left" vertical="center"/>
    </xf>
    <xf numFmtId="165" fontId="28" fillId="2" borderId="44" xfId="0" applyNumberFormat="1" applyFont="1" applyFill="1" applyBorder="1"/>
    <xf numFmtId="1" fontId="28" fillId="3" borderId="23" xfId="0" applyNumberFormat="1" applyFont="1" applyFill="1" applyBorder="1" applyAlignment="1">
      <alignment horizontal="center"/>
    </xf>
    <xf numFmtId="1" fontId="0" fillId="3" borderId="23" xfId="0" applyNumberFormat="1" applyFont="1" applyFill="1" applyBorder="1" applyAlignment="1">
      <alignment horizontal="center"/>
    </xf>
    <xf numFmtId="3" fontId="25" fillId="0" borderId="0" xfId="0" applyFont="1"/>
    <xf numFmtId="3" fontId="23" fillId="0" borderId="0" xfId="0" applyFont="1" applyBorder="1"/>
    <xf numFmtId="165" fontId="27" fillId="2" borderId="44" xfId="0" applyNumberFormat="1" applyFont="1" applyFill="1" applyBorder="1"/>
    <xf numFmtId="1" fontId="28" fillId="2" borderId="3" xfId="0" applyNumberFormat="1" applyFont="1" applyFill="1" applyBorder="1" applyAlignment="1">
      <alignment horizontal="center"/>
    </xf>
    <xf numFmtId="49" fontId="28" fillId="2" borderId="20" xfId="0" applyNumberFormat="1" applyFont="1" applyFill="1" applyBorder="1" applyAlignment="1">
      <alignment horizontal="left" vertical="top"/>
    </xf>
    <xf numFmtId="3" fontId="26" fillId="2" borderId="0" xfId="0" applyFont="1" applyFill="1" applyBorder="1" applyAlignment="1">
      <alignment horizontal="left" vertical="center"/>
    </xf>
    <xf numFmtId="165" fontId="27" fillId="4" borderId="0" xfId="0" applyNumberFormat="1" applyFont="1" applyFill="1" applyBorder="1"/>
    <xf numFmtId="165" fontId="27" fillId="2" borderId="21" xfId="0" applyNumberFormat="1" applyFont="1" applyFill="1" applyBorder="1"/>
    <xf numFmtId="1" fontId="28" fillId="4" borderId="45" xfId="0" applyNumberFormat="1" applyFont="1" applyFill="1" applyBorder="1" applyAlignment="1">
      <alignment horizontal="center"/>
    </xf>
    <xf numFmtId="49" fontId="28" fillId="4" borderId="45" xfId="0" applyNumberFormat="1" applyFont="1" applyFill="1" applyBorder="1" applyAlignment="1">
      <alignment horizontal="left" vertical="top"/>
    </xf>
    <xf numFmtId="3" fontId="26" fillId="4" borderId="45" xfId="0" applyFont="1" applyFill="1" applyBorder="1" applyAlignment="1">
      <alignment horizontal="left" vertical="center"/>
    </xf>
    <xf numFmtId="165" fontId="27" fillId="4" borderId="45" xfId="0" applyNumberFormat="1" applyFont="1" applyFill="1" applyBorder="1"/>
    <xf numFmtId="3" fontId="10" fillId="0" borderId="3" xfId="0" applyFont="1" applyBorder="1"/>
    <xf numFmtId="3" fontId="10" fillId="0" borderId="0" xfId="0" applyFont="1" applyFill="1" applyBorder="1"/>
    <xf numFmtId="49" fontId="11" fillId="0" borderId="3" xfId="0" applyNumberFormat="1" applyFont="1" applyBorder="1" applyAlignment="1">
      <alignment horizontal="left" vertical="center" wrapText="1"/>
    </xf>
    <xf numFmtId="3" fontId="0" fillId="0" borderId="3" xfId="0" applyFont="1" applyBorder="1" applyAlignment="1">
      <alignment vertical="top" wrapText="1"/>
    </xf>
    <xf numFmtId="1" fontId="3" fillId="0" borderId="3" xfId="0" applyNumberFormat="1" applyFont="1" applyFill="1" applyBorder="1" applyAlignment="1">
      <alignment vertical="center" wrapText="1"/>
    </xf>
    <xf numFmtId="3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3" fontId="40" fillId="0" borderId="0" xfId="0" applyFont="1" applyFill="1"/>
    <xf numFmtId="3" fontId="41" fillId="0" borderId="0" xfId="0" applyFont="1" applyFill="1" applyAlignment="1">
      <alignment vertical="center"/>
    </xf>
    <xf numFmtId="1" fontId="20" fillId="0" borderId="12" xfId="0" applyNumberFormat="1" applyFont="1" applyFill="1" applyBorder="1" applyAlignment="1">
      <alignment horizontal="center" vertical="center"/>
    </xf>
    <xf numFmtId="49" fontId="26" fillId="2" borderId="34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vertical="center"/>
    </xf>
    <xf numFmtId="3" fontId="26" fillId="2" borderId="29" xfId="0" applyFont="1" applyFill="1" applyBorder="1" applyAlignment="1">
      <alignment horizontal="center" vertical="center"/>
    </xf>
    <xf numFmtId="3" fontId="26" fillId="2" borderId="1" xfId="0" applyFont="1" applyFill="1" applyBorder="1" applyAlignment="1">
      <alignment horizontal="center" vertical="center"/>
    </xf>
    <xf numFmtId="3" fontId="26" fillId="2" borderId="1" xfId="0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 wrapText="1"/>
    </xf>
    <xf numFmtId="3" fontId="42" fillId="2" borderId="29" xfId="0" applyFont="1" applyFill="1" applyBorder="1" applyAlignment="1">
      <alignment vertical="center"/>
    </xf>
    <xf numFmtId="3" fontId="26" fillId="2" borderId="29" xfId="0" applyFont="1" applyFill="1" applyBorder="1" applyAlignment="1">
      <alignment vertical="center"/>
    </xf>
    <xf numFmtId="1" fontId="23" fillId="0" borderId="3" xfId="0" applyNumberFormat="1" applyFont="1" applyFill="1" applyBorder="1" applyAlignment="1">
      <alignment vertical="center"/>
    </xf>
    <xf numFmtId="1" fontId="26" fillId="2" borderId="29" xfId="0" applyNumberFormat="1" applyFont="1" applyFill="1" applyBorder="1" applyAlignment="1">
      <alignment horizontal="center" vertical="center"/>
    </xf>
    <xf numFmtId="3" fontId="26" fillId="2" borderId="29" xfId="0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/>
    </xf>
    <xf numFmtId="3" fontId="40" fillId="0" borderId="0" xfId="0" applyFont="1" applyFill="1" applyAlignment="1">
      <alignment vertical="center" wrapText="1"/>
    </xf>
    <xf numFmtId="3" fontId="4" fillId="0" borderId="3" xfId="0" applyFont="1" applyBorder="1"/>
    <xf numFmtId="3" fontId="0" fillId="0" borderId="3" xfId="0" applyFont="1" applyFill="1" applyBorder="1" applyAlignment="1">
      <alignment vertical="center" wrapText="1"/>
    </xf>
    <xf numFmtId="4" fontId="40" fillId="0" borderId="0" xfId="0" applyNumberFormat="1" applyFont="1" applyFill="1"/>
    <xf numFmtId="4" fontId="8" fillId="5" borderId="0" xfId="0" applyNumberFormat="1" applyFont="1" applyFill="1"/>
    <xf numFmtId="3" fontId="40" fillId="5" borderId="0" xfId="0" applyFont="1" applyFill="1"/>
    <xf numFmtId="3" fontId="8" fillId="5" borderId="0" xfId="0" applyFont="1" applyFill="1"/>
    <xf numFmtId="3" fontId="37" fillId="5" borderId="0" xfId="0" applyFont="1" applyFill="1"/>
    <xf numFmtId="3" fontId="28" fillId="2" borderId="1" xfId="0" applyFont="1" applyFill="1" applyBorder="1"/>
    <xf numFmtId="3" fontId="43" fillId="2" borderId="29" xfId="0" applyFont="1" applyFill="1" applyBorder="1"/>
    <xf numFmtId="3" fontId="43" fillId="4" borderId="0" xfId="0" applyFont="1" applyFill="1" applyBorder="1"/>
    <xf numFmtId="49" fontId="28" fillId="2" borderId="34" xfId="0" applyNumberFormat="1" applyFont="1" applyFill="1" applyBorder="1" applyAlignment="1">
      <alignment horizontal="center"/>
    </xf>
    <xf numFmtId="3" fontId="27" fillId="2" borderId="1" xfId="0" applyFont="1" applyFill="1" applyBorder="1"/>
    <xf numFmtId="3" fontId="0" fillId="0" borderId="3" xfId="0" applyFont="1" applyBorder="1" applyAlignment="1">
      <alignment vertical="top"/>
    </xf>
    <xf numFmtId="3" fontId="0" fillId="0" borderId="31" xfId="0" applyFont="1" applyBorder="1" applyAlignment="1">
      <alignment vertical="top"/>
    </xf>
    <xf numFmtId="3" fontId="10" fillId="0" borderId="31" xfId="0" applyFont="1" applyBorder="1"/>
    <xf numFmtId="3" fontId="0" fillId="0" borderId="3" xfId="0" applyFont="1" applyFill="1" applyBorder="1" applyAlignment="1"/>
    <xf numFmtId="49" fontId="28" fillId="2" borderId="13" xfId="0" applyNumberFormat="1" applyFont="1" applyFill="1" applyBorder="1" applyAlignment="1">
      <alignment horizontal="center"/>
    </xf>
    <xf numFmtId="3" fontId="28" fillId="2" borderId="1" xfId="0" applyFont="1" applyFill="1" applyBorder="1" applyAlignment="1">
      <alignment horizontal="right" vertical="top"/>
    </xf>
    <xf numFmtId="3" fontId="28" fillId="2" borderId="29" xfId="0" applyFont="1" applyFill="1" applyBorder="1" applyAlignment="1">
      <alignment horizontal="right" vertical="top"/>
    </xf>
    <xf numFmtId="3" fontId="28" fillId="2" borderId="31" xfId="0" applyFont="1" applyFill="1" applyBorder="1"/>
    <xf numFmtId="3" fontId="28" fillId="2" borderId="39" xfId="0" applyFont="1" applyFill="1" applyBorder="1" applyAlignment="1">
      <alignment horizontal="right" vertical="top"/>
    </xf>
    <xf numFmtId="3" fontId="28" fillId="2" borderId="43" xfId="0" applyFont="1" applyFill="1" applyBorder="1" applyAlignment="1">
      <alignment horizontal="right" vertical="top"/>
    </xf>
    <xf numFmtId="3" fontId="28" fillId="2" borderId="40" xfId="0" applyFont="1" applyFill="1" applyBorder="1" applyAlignment="1">
      <alignment horizontal="right" vertical="top"/>
    </xf>
    <xf numFmtId="3" fontId="27" fillId="2" borderId="1" xfId="0" applyFont="1" applyFill="1" applyBorder="1" applyAlignment="1"/>
    <xf numFmtId="3" fontId="27" fillId="4" borderId="0" xfId="0" applyFont="1" applyFill="1" applyBorder="1"/>
    <xf numFmtId="3" fontId="27" fillId="2" borderId="29" xfId="0" applyFont="1" applyFill="1" applyBorder="1"/>
    <xf numFmtId="3" fontId="0" fillId="4" borderId="3" xfId="0" applyFont="1" applyFill="1" applyBorder="1" applyAlignment="1">
      <alignment wrapText="1"/>
    </xf>
    <xf numFmtId="3" fontId="43" fillId="3" borderId="0" xfId="0" applyFont="1" applyFill="1" applyBorder="1"/>
    <xf numFmtId="3" fontId="0" fillId="0" borderId="0" xfId="0" applyFont="1"/>
    <xf numFmtId="3" fontId="0" fillId="0" borderId="0" xfId="0" applyFont="1" applyBorder="1" applyAlignment="1">
      <alignment vertical="top" wrapText="1"/>
    </xf>
    <xf numFmtId="3" fontId="27" fillId="2" borderId="31" xfId="0" applyFont="1" applyFill="1" applyBorder="1"/>
    <xf numFmtId="4" fontId="8" fillId="0" borderId="0" xfId="0" applyNumberFormat="1" applyFont="1" applyFill="1" applyAlignment="1">
      <alignment horizontal="right"/>
    </xf>
    <xf numFmtId="1" fontId="0" fillId="0" borderId="20" xfId="0" applyNumberFormat="1" applyFont="1" applyFill="1" applyBorder="1" applyAlignment="1">
      <alignment horizontal="center" vertical="center" wrapText="1"/>
    </xf>
    <xf numFmtId="3" fontId="43" fillId="0" borderId="0" xfId="0" applyFont="1" applyFill="1" applyBorder="1"/>
    <xf numFmtId="49" fontId="28" fillId="2" borderId="8" xfId="0" applyNumberFormat="1" applyFont="1" applyFill="1" applyBorder="1" applyAlignment="1">
      <alignment horizontal="center"/>
    </xf>
    <xf numFmtId="3" fontId="27" fillId="2" borderId="3" xfId="0" applyFont="1" applyFill="1" applyBorder="1"/>
    <xf numFmtId="49" fontId="28" fillId="4" borderId="45" xfId="0" applyNumberFormat="1" applyFont="1" applyFill="1" applyBorder="1" applyAlignment="1">
      <alignment horizontal="center"/>
    </xf>
    <xf numFmtId="3" fontId="0" fillId="0" borderId="2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/>
    <xf numFmtId="3" fontId="14" fillId="0" borderId="29" xfId="0" applyFont="1" applyFill="1" applyBorder="1"/>
    <xf numFmtId="4" fontId="4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3" fontId="3" fillId="0" borderId="0" xfId="0" applyFont="1" applyFill="1" applyAlignment="1">
      <alignment horizontal="right"/>
    </xf>
    <xf numFmtId="3" fontId="14" fillId="2" borderId="30" xfId="0" applyFont="1" applyFill="1" applyBorder="1"/>
    <xf numFmtId="4" fontId="37" fillId="0" borderId="0" xfId="0" applyNumberFormat="1" applyFont="1" applyFill="1"/>
    <xf numFmtId="3" fontId="12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/>
    </xf>
    <xf numFmtId="3" fontId="44" fillId="0" borderId="0" xfId="0" applyFont="1" applyFill="1" applyBorder="1"/>
    <xf numFmtId="3" fontId="44" fillId="0" borderId="0" xfId="0" applyFont="1" applyFill="1" applyBorder="1" applyAlignment="1">
      <alignment horizontal="center"/>
    </xf>
    <xf numFmtId="3" fontId="44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Alignment="1">
      <alignment horizontal="center"/>
    </xf>
    <xf numFmtId="3" fontId="0" fillId="4" borderId="0" xfId="0" applyFont="1" applyFill="1" applyAlignment="1">
      <alignment horizontal="center"/>
    </xf>
    <xf numFmtId="3" fontId="37" fillId="4" borderId="0" xfId="0" applyFont="1" applyFill="1"/>
    <xf numFmtId="4" fontId="37" fillId="4" borderId="0" xfId="0" applyNumberFormat="1" applyFont="1" applyFill="1"/>
    <xf numFmtId="166" fontId="16" fillId="4" borderId="30" xfId="0" applyNumberFormat="1" applyFont="1" applyFill="1" applyBorder="1" applyAlignment="1">
      <alignment horizontal="center"/>
    </xf>
    <xf numFmtId="3" fontId="0" fillId="4" borderId="30" xfId="0" applyFont="1" applyFill="1" applyBorder="1" applyAlignment="1">
      <alignment horizontal="right"/>
    </xf>
    <xf numFmtId="4" fontId="9" fillId="4" borderId="30" xfId="0" applyNumberFormat="1" applyFont="1" applyFill="1" applyBorder="1" applyAlignment="1">
      <alignment shrinkToFit="1"/>
    </xf>
    <xf numFmtId="166" fontId="16" fillId="4" borderId="26" xfId="0" applyNumberFormat="1" applyFont="1" applyFill="1" applyBorder="1" applyAlignment="1">
      <alignment horizontal="center"/>
    </xf>
    <xf numFmtId="1" fontId="0" fillId="4" borderId="26" xfId="0" applyNumberFormat="1" applyFont="1" applyFill="1" applyBorder="1"/>
    <xf numFmtId="3" fontId="9" fillId="4" borderId="26" xfId="0" applyFont="1" applyFill="1" applyBorder="1"/>
    <xf numFmtId="3" fontId="9" fillId="4" borderId="26" xfId="0" applyFont="1" applyFill="1" applyBorder="1" applyAlignment="1">
      <alignment horizontal="right"/>
    </xf>
    <xf numFmtId="3" fontId="0" fillId="4" borderId="26" xfId="0" applyFont="1" applyFill="1" applyBorder="1"/>
    <xf numFmtId="4" fontId="0" fillId="4" borderId="26" xfId="0" applyNumberFormat="1" applyFont="1" applyFill="1" applyBorder="1"/>
    <xf numFmtId="166" fontId="16" fillId="4" borderId="30" xfId="0" applyNumberFormat="1" applyFont="1" applyFill="1" applyBorder="1" applyAlignment="1">
      <alignment horizontal="left"/>
    </xf>
    <xf numFmtId="1" fontId="0" fillId="4" borderId="30" xfId="0" applyNumberFormat="1" applyFont="1" applyFill="1" applyBorder="1"/>
    <xf numFmtId="3" fontId="0" fillId="4" borderId="30" xfId="0" applyFont="1" applyFill="1" applyBorder="1"/>
    <xf numFmtId="3" fontId="9" fillId="4" borderId="29" xfId="0" applyFont="1" applyFill="1" applyBorder="1" applyAlignment="1">
      <alignment horizontal="right"/>
    </xf>
    <xf numFmtId="3" fontId="45" fillId="0" borderId="0" xfId="0" applyFont="1" applyFill="1"/>
    <xf numFmtId="3" fontId="45" fillId="4" borderId="0" xfId="0" applyFont="1" applyFill="1" applyBorder="1"/>
    <xf numFmtId="3" fontId="45" fillId="4" borderId="45" xfId="0" applyFont="1" applyFill="1" applyBorder="1"/>
    <xf numFmtId="3" fontId="45" fillId="0" borderId="0" xfId="0" applyFont="1" applyFill="1" applyBorder="1"/>
    <xf numFmtId="166" fontId="46" fillId="0" borderId="18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vertical="center"/>
    </xf>
    <xf numFmtId="4" fontId="48" fillId="2" borderId="29" xfId="0" applyNumberFormat="1" applyFont="1" applyFill="1" applyBorder="1" applyAlignment="1">
      <alignment vertical="center"/>
    </xf>
    <xf numFmtId="3" fontId="49" fillId="2" borderId="29" xfId="0" applyFont="1" applyFill="1" applyBorder="1" applyAlignment="1">
      <alignment vertical="center"/>
    </xf>
    <xf numFmtId="3" fontId="28" fillId="5" borderId="29" xfId="0" applyFont="1" applyFill="1" applyBorder="1"/>
    <xf numFmtId="4" fontId="50" fillId="5" borderId="29" xfId="0" applyNumberFormat="1" applyFont="1" applyFill="1" applyBorder="1"/>
    <xf numFmtId="4" fontId="50" fillId="2" borderId="29" xfId="0" applyNumberFormat="1" applyFont="1" applyFill="1" applyBorder="1"/>
    <xf numFmtId="3" fontId="51" fillId="2" borderId="29" xfId="0" applyFont="1" applyFill="1" applyBorder="1"/>
    <xf numFmtId="4" fontId="52" fillId="2" borderId="29" xfId="0" applyNumberFormat="1" applyFont="1" applyFill="1" applyBorder="1"/>
    <xf numFmtId="4" fontId="53" fillId="0" borderId="0" xfId="0" applyNumberFormat="1" applyFont="1" applyFill="1"/>
    <xf numFmtId="3" fontId="54" fillId="0" borderId="0" xfId="0" applyFont="1" applyFill="1"/>
    <xf numFmtId="4" fontId="53" fillId="0" borderId="0" xfId="0" applyNumberFormat="1" applyFont="1" applyFill="1" applyBorder="1"/>
    <xf numFmtId="4" fontId="50" fillId="0" borderId="0" xfId="0" applyNumberFormat="1" applyFont="1" applyFill="1" applyBorder="1"/>
    <xf numFmtId="4" fontId="50" fillId="4" borderId="0" xfId="0" applyNumberFormat="1" applyFont="1" applyFill="1" applyBorder="1"/>
    <xf numFmtId="3" fontId="51" fillId="4" borderId="0" xfId="0" applyFont="1" applyFill="1" applyBorder="1"/>
    <xf numFmtId="4" fontId="56" fillId="0" borderId="0" xfId="0" applyNumberFormat="1" applyFont="1" applyFill="1"/>
    <xf numFmtId="4" fontId="32" fillId="0" borderId="0" xfId="0" applyNumberFormat="1" applyFont="1" applyFill="1" applyBorder="1"/>
    <xf numFmtId="4" fontId="57" fillId="4" borderId="0" xfId="0" applyNumberFormat="1" applyFont="1" applyFill="1"/>
    <xf numFmtId="4" fontId="57" fillId="4" borderId="30" xfId="0" applyNumberFormat="1" applyFont="1" applyFill="1" applyBorder="1" applyAlignment="1">
      <alignment shrinkToFit="1"/>
    </xf>
    <xf numFmtId="4" fontId="55" fillId="0" borderId="0" xfId="0" applyNumberFormat="1" applyFont="1" applyFill="1" applyBorder="1"/>
    <xf numFmtId="4" fontId="32" fillId="0" borderId="29" xfId="0" applyNumberFormat="1" applyFont="1" applyFill="1" applyBorder="1"/>
    <xf numFmtId="4" fontId="57" fillId="0" borderId="0" xfId="0" applyNumberFormat="1" applyFont="1" applyFill="1" applyBorder="1"/>
    <xf numFmtId="3" fontId="9" fillId="4" borderId="3" xfId="0" applyNumberFormat="1" applyFont="1" applyFill="1" applyBorder="1"/>
    <xf numFmtId="3" fontId="9" fillId="0" borderId="18" xfId="0" applyNumberFormat="1" applyFont="1" applyFill="1" applyBorder="1"/>
    <xf numFmtId="3" fontId="19" fillId="0" borderId="8" xfId="0" applyFont="1" applyFill="1" applyBorder="1" applyAlignment="1">
      <alignment wrapText="1"/>
    </xf>
    <xf numFmtId="3" fontId="12" fillId="0" borderId="10" xfId="0" applyNumberFormat="1" applyFont="1" applyFill="1" applyBorder="1"/>
    <xf numFmtId="165" fontId="12" fillId="0" borderId="11" xfId="0" applyNumberFormat="1" applyFont="1" applyFill="1" applyBorder="1"/>
    <xf numFmtId="3" fontId="9" fillId="4" borderId="18" xfId="0" applyNumberFormat="1" applyFont="1" applyFill="1" applyBorder="1"/>
    <xf numFmtId="3" fontId="9" fillId="4" borderId="1" xfId="0" applyNumberFormat="1" applyFont="1" applyFill="1" applyBorder="1"/>
    <xf numFmtId="3" fontId="12" fillId="4" borderId="1" xfId="0" applyNumberFormat="1" applyFont="1" applyFill="1" applyBorder="1"/>
    <xf numFmtId="3" fontId="9" fillId="4" borderId="0" xfId="0" applyNumberFormat="1" applyFont="1" applyFill="1" applyBorder="1" applyAlignment="1">
      <alignment horizontal="right"/>
    </xf>
    <xf numFmtId="3" fontId="12" fillId="4" borderId="22" xfId="0" applyNumberFormat="1" applyFont="1" applyFill="1" applyBorder="1"/>
    <xf numFmtId="3" fontId="3" fillId="4" borderId="0" xfId="0" applyFont="1" applyFill="1" applyBorder="1"/>
    <xf numFmtId="164" fontId="11" fillId="4" borderId="0" xfId="0" applyNumberFormat="1" applyFont="1" applyFill="1" applyBorder="1"/>
    <xf numFmtId="3" fontId="28" fillId="6" borderId="1" xfId="0" applyFont="1" applyFill="1" applyBorder="1"/>
    <xf numFmtId="165" fontId="27" fillId="6" borderId="14" xfId="0" applyNumberFormat="1" applyFont="1" applyFill="1" applyBorder="1"/>
    <xf numFmtId="49" fontId="28" fillId="6" borderId="34" xfId="0" applyNumberFormat="1" applyFont="1" applyFill="1" applyBorder="1" applyAlignment="1">
      <alignment horizontal="center" vertical="center" wrapText="1"/>
    </xf>
    <xf numFmtId="1" fontId="28" fillId="6" borderId="1" xfId="0" applyNumberFormat="1" applyFont="1" applyFill="1" applyBorder="1" applyAlignment="1"/>
    <xf numFmtId="1" fontId="28" fillId="6" borderId="29" xfId="0" applyNumberFormat="1" applyFont="1" applyFill="1" applyBorder="1" applyAlignment="1">
      <alignment horizontal="center"/>
    </xf>
    <xf numFmtId="166" fontId="28" fillId="6" borderId="1" xfId="0" applyNumberFormat="1" applyFont="1" applyFill="1" applyBorder="1" applyAlignment="1">
      <alignment horizontal="center"/>
    </xf>
    <xf numFmtId="3" fontId="26" fillId="6" borderId="29" xfId="0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8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3" fontId="0" fillId="0" borderId="3" xfId="0" applyFont="1" applyBorder="1" applyAlignment="1">
      <alignment horizontal="center" vertical="center" wrapText="1"/>
    </xf>
    <xf numFmtId="3" fontId="4" fillId="0" borderId="3" xfId="0" applyFont="1" applyFill="1" applyBorder="1" applyAlignment="1">
      <alignment wrapText="1"/>
    </xf>
    <xf numFmtId="3" fontId="0" fillId="0" borderId="3" xfId="0" applyFont="1" applyBorder="1" applyAlignment="1">
      <alignment wrapText="1"/>
    </xf>
    <xf numFmtId="1" fontId="3" fillId="0" borderId="3" xfId="0" applyNumberFormat="1" applyFont="1" applyFill="1" applyBorder="1" applyAlignment="1">
      <alignment vertical="center" wrapText="1"/>
    </xf>
    <xf numFmtId="3" fontId="0" fillId="0" borderId="3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left" vertical="center" wrapText="1"/>
    </xf>
    <xf numFmtId="3" fontId="0" fillId="0" borderId="3" xfId="0" applyFont="1" applyBorder="1" applyAlignment="1">
      <alignment horizontal="left" vertical="center" wrapText="1"/>
    </xf>
    <xf numFmtId="3" fontId="0" fillId="0" borderId="3" xfId="0" applyFont="1" applyFill="1" applyBorder="1" applyAlignment="1">
      <alignment vertical="top" wrapText="1"/>
    </xf>
    <xf numFmtId="3" fontId="0" fillId="0" borderId="3" xfId="0" applyFont="1" applyBorder="1" applyAlignment="1">
      <alignment vertical="top" wrapText="1"/>
    </xf>
    <xf numFmtId="3" fontId="3" fillId="0" borderId="3" xfId="0" applyFont="1" applyBorder="1" applyAlignment="1">
      <alignment vertical="top" wrapText="1"/>
    </xf>
    <xf numFmtId="3" fontId="4" fillId="4" borderId="3" xfId="0" applyFont="1" applyFill="1" applyBorder="1" applyAlignment="1">
      <alignment vertical="center" wrapText="1"/>
    </xf>
    <xf numFmtId="165" fontId="10" fillId="0" borderId="21" xfId="0" applyNumberFormat="1" applyFont="1" applyFill="1" applyBorder="1" applyAlignment="1">
      <alignment vertical="center" wrapText="1"/>
    </xf>
    <xf numFmtId="3" fontId="0" fillId="0" borderId="21" xfId="0" applyFont="1" applyBorder="1" applyAlignment="1">
      <alignment vertical="center" wrapText="1"/>
    </xf>
    <xf numFmtId="3" fontId="0" fillId="0" borderId="31" xfId="0" applyFont="1" applyBorder="1" applyAlignment="1">
      <alignment horizontal="left" vertical="center" wrapText="1"/>
    </xf>
    <xf numFmtId="3" fontId="0" fillId="0" borderId="31" xfId="0" applyFont="1" applyBorder="1" applyAlignment="1">
      <alignment vertical="top" wrapText="1"/>
    </xf>
    <xf numFmtId="3" fontId="25" fillId="4" borderId="36" xfId="0" applyFont="1" applyFill="1" applyBorder="1" applyAlignment="1">
      <alignment horizontal="left" vertical="center" wrapText="1"/>
    </xf>
    <xf numFmtId="49" fontId="15" fillId="4" borderId="37" xfId="0" applyNumberFormat="1" applyFont="1" applyFill="1" applyBorder="1" applyAlignment="1">
      <alignment horizontal="center" vertical="center" wrapText="1"/>
    </xf>
    <xf numFmtId="1" fontId="0" fillId="4" borderId="36" xfId="0" applyNumberFormat="1" applyFont="1" applyFill="1" applyBorder="1" applyAlignment="1">
      <alignment horizontal="center" vertical="center" wrapText="1"/>
    </xf>
    <xf numFmtId="3" fontId="4" fillId="4" borderId="3" xfId="0" applyFont="1" applyFill="1" applyBorder="1" applyAlignment="1">
      <alignment horizontal="right" vertical="center" wrapText="1"/>
    </xf>
    <xf numFmtId="3" fontId="0" fillId="0" borderId="3" xfId="0" applyFont="1" applyBorder="1" applyAlignment="1">
      <alignment horizontal="right" vertical="center" wrapText="1"/>
    </xf>
    <xf numFmtId="2" fontId="23" fillId="0" borderId="3" xfId="0" applyNumberFormat="1" applyFont="1" applyBorder="1" applyAlignment="1">
      <alignment vertical="top" wrapText="1"/>
    </xf>
    <xf numFmtId="3" fontId="23" fillId="0" borderId="3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42"/>
  </sheetPr>
  <dimension ref="A1:N40"/>
  <sheetViews>
    <sheetView showGridLines="0" tabSelected="1" view="pageBreakPreview" zoomScaleNormal="100" zoomScaleSheetLayoutView="100" workbookViewId="0">
      <selection activeCell="J7" sqref="J7"/>
    </sheetView>
  </sheetViews>
  <sheetFormatPr defaultRowHeight="12.75" x14ac:dyDescent="0.2"/>
  <cols>
    <col min="1" max="1" width="40.5703125" style="5" customWidth="1"/>
    <col min="2" max="2" width="15.85546875" style="5" customWidth="1"/>
    <col min="3" max="3" width="15.5703125" style="5" customWidth="1"/>
    <col min="4" max="4" width="15.7109375" style="5" customWidth="1"/>
    <col min="5" max="5" width="11.28515625" style="5" customWidth="1"/>
    <col min="6" max="6" width="4.140625" style="5" customWidth="1"/>
    <col min="7" max="7" width="3.140625" style="5" customWidth="1"/>
    <col min="8" max="8" width="19.28515625" style="207" customWidth="1"/>
    <col min="9" max="9" width="20.5703125" style="207" customWidth="1"/>
    <col min="10" max="10" width="21" style="207" customWidth="1"/>
    <col min="11" max="11" width="16" style="208" customWidth="1"/>
    <col min="12" max="12" width="14" style="5" customWidth="1"/>
    <col min="13" max="13" width="9.140625" style="5" customWidth="1"/>
    <col min="14" max="14" width="22.7109375" style="5" customWidth="1"/>
    <col min="15" max="16384" width="9.140625" style="5"/>
  </cols>
  <sheetData>
    <row r="1" spans="1:11" ht="20.25" x14ac:dyDescent="0.3">
      <c r="A1" s="4" t="s">
        <v>201</v>
      </c>
    </row>
    <row r="3" spans="1:11" x14ac:dyDescent="0.2">
      <c r="A3" s="491" t="s">
        <v>200</v>
      </c>
      <c r="B3" s="491"/>
      <c r="C3" s="491"/>
      <c r="D3" s="491"/>
      <c r="E3" s="491"/>
    </row>
    <row r="4" spans="1:11" ht="30.75" customHeight="1" x14ac:dyDescent="0.2">
      <c r="A4" s="491"/>
      <c r="B4" s="491"/>
      <c r="C4" s="491"/>
      <c r="D4" s="491"/>
      <c r="E4" s="491"/>
    </row>
    <row r="6" spans="1:11" ht="15.75" x14ac:dyDescent="0.25">
      <c r="A6" s="6" t="s">
        <v>35</v>
      </c>
    </row>
    <row r="7" spans="1:11" ht="13.5" thickBot="1" x14ac:dyDescent="0.25">
      <c r="C7" s="7"/>
      <c r="E7" s="7" t="s">
        <v>0</v>
      </c>
    </row>
    <row r="8" spans="1:11" s="11" customFormat="1" ht="18.75" customHeight="1" thickTop="1" thickBot="1" x14ac:dyDescent="0.25">
      <c r="A8" s="8" t="s">
        <v>30</v>
      </c>
      <c r="B8" s="9" t="s">
        <v>4</v>
      </c>
      <c r="C8" s="9" t="s">
        <v>5</v>
      </c>
      <c r="D8" s="9" t="s">
        <v>18</v>
      </c>
      <c r="E8" s="10" t="s">
        <v>19</v>
      </c>
      <c r="H8" s="209"/>
      <c r="I8" s="209"/>
      <c r="J8" s="209"/>
      <c r="K8" s="210"/>
    </row>
    <row r="9" spans="1:11" s="11" customFormat="1" thickTop="1" thickBot="1" x14ac:dyDescent="0.25">
      <c r="A9" s="12">
        <v>1</v>
      </c>
      <c r="B9" s="9">
        <v>2</v>
      </c>
      <c r="C9" s="9">
        <v>3</v>
      </c>
      <c r="D9" s="9">
        <v>4</v>
      </c>
      <c r="E9" s="13" t="s">
        <v>37</v>
      </c>
      <c r="H9" s="209"/>
      <c r="I9" s="209"/>
      <c r="J9" s="209"/>
      <c r="K9" s="210"/>
    </row>
    <row r="10" spans="1:11" ht="18.95" customHeight="1" thickTop="1" x14ac:dyDescent="0.2">
      <c r="A10" s="175" t="s">
        <v>46</v>
      </c>
      <c r="B10" s="473">
        <f>SUM(Příjmy!F373)</f>
        <v>3538224</v>
      </c>
      <c r="C10" s="473">
        <f>SUM(Příjmy!G373)</f>
        <v>9351125</v>
      </c>
      <c r="D10" s="473">
        <f>SUM(Příjmy!H373)</f>
        <v>10303539</v>
      </c>
      <c r="E10" s="1">
        <f>(D10/C10)*100</f>
        <v>110.18502051892152</v>
      </c>
      <c r="H10" s="466">
        <f>SUM(Příjmy!K373)</f>
        <v>3538224000</v>
      </c>
      <c r="I10" s="466">
        <f>SUM(Příjmy!L373)</f>
        <v>9351124872.6899986</v>
      </c>
      <c r="J10" s="466">
        <f>SUM(Příjmy!M373)</f>
        <v>10303539933.660002</v>
      </c>
    </row>
    <row r="11" spans="1:11" ht="18.95" customHeight="1" x14ac:dyDescent="0.2">
      <c r="A11" s="175" t="s">
        <v>47</v>
      </c>
      <c r="B11" s="174">
        <f>SUM(Příjmy!F374)</f>
        <v>0</v>
      </c>
      <c r="C11" s="174">
        <f>SUM(Příjmy!G374)</f>
        <v>981103</v>
      </c>
      <c r="D11" s="174">
        <f>SUM(Příjmy!H374)</f>
        <v>780313</v>
      </c>
      <c r="E11" s="1">
        <f>(D11/C11)*100</f>
        <v>79.534258890249035</v>
      </c>
      <c r="H11" s="466">
        <f>SUM(Příjmy!K374)</f>
        <v>0</v>
      </c>
      <c r="I11" s="466">
        <f>SUM(Příjmy!L374)</f>
        <v>981102959.96999979</v>
      </c>
      <c r="J11" s="466">
        <f>SUM(Příjmy!M374)</f>
        <v>780311930.3499999</v>
      </c>
    </row>
    <row r="12" spans="1:11" ht="18.95" customHeight="1" x14ac:dyDescent="0.2">
      <c r="A12" s="175" t="s">
        <v>48</v>
      </c>
      <c r="B12" s="174">
        <f>SUM(Příjmy!F371)</f>
        <v>6391</v>
      </c>
      <c r="C12" s="174">
        <f>SUM(Příjmy!G371)</f>
        <v>6925</v>
      </c>
      <c r="D12" s="174">
        <f>SUM(Příjmy!H371)</f>
        <v>6689</v>
      </c>
      <c r="E12" s="1">
        <f t="shared" ref="E12:E15" si="0">(D12/C12)*100</f>
        <v>96.592057761732846</v>
      </c>
      <c r="H12" s="466">
        <f>SUM(Příjmy!K351)</f>
        <v>6391000</v>
      </c>
      <c r="I12" s="466">
        <f>SUM(Příjmy!L351)</f>
        <v>6925000</v>
      </c>
      <c r="J12" s="466">
        <f>SUM(Příjmy!M351)</f>
        <v>6689044.5099999998</v>
      </c>
    </row>
    <row r="13" spans="1:11" ht="43.5" customHeight="1" x14ac:dyDescent="0.2">
      <c r="A13" s="474" t="s">
        <v>49</v>
      </c>
      <c r="B13" s="174">
        <f>SUM(Příjmy!F372)</f>
        <v>40000</v>
      </c>
      <c r="C13" s="174">
        <f>SUM(Příjmy!G372)</f>
        <v>40000</v>
      </c>
      <c r="D13" s="174">
        <f>SUM(Příjmy!H372)</f>
        <v>65231</v>
      </c>
      <c r="E13" s="1">
        <f>(D13/C13)*100</f>
        <v>163.07750000000001</v>
      </c>
      <c r="H13" s="470">
        <f>SUM(Příjmy!K356)</f>
        <v>40000000</v>
      </c>
      <c r="I13" s="470">
        <f>SUM(Příjmy!L356)</f>
        <v>40000000</v>
      </c>
      <c r="J13" s="470">
        <f>SUM(Příjmy!M356)</f>
        <v>65231076.700000003</v>
      </c>
    </row>
    <row r="14" spans="1:11" s="15" customFormat="1" ht="34.5" customHeight="1" x14ac:dyDescent="0.25">
      <c r="A14" s="14" t="s">
        <v>36</v>
      </c>
      <c r="B14" s="475">
        <f>SUM(B10:B13)</f>
        <v>3584615</v>
      </c>
      <c r="C14" s="475">
        <f t="shared" ref="C14:D14" si="1">SUM(C10:C13)</f>
        <v>10379153</v>
      </c>
      <c r="D14" s="475">
        <f t="shared" si="1"/>
        <v>11155772</v>
      </c>
      <c r="E14" s="476">
        <f>(D14/C14)*100</f>
        <v>107.48248917806684</v>
      </c>
      <c r="H14" s="469">
        <f>H10+H11+H12+H13</f>
        <v>3584615000</v>
      </c>
      <c r="I14" s="469">
        <f t="shared" ref="I14:J14" si="2">I10+I11+I12+I13</f>
        <v>10379152832.659998</v>
      </c>
      <c r="J14" s="469">
        <f t="shared" si="2"/>
        <v>11155771985.220003</v>
      </c>
      <c r="K14" s="211"/>
    </row>
    <row r="15" spans="1:11" s="15" customFormat="1" ht="21.75" customHeight="1" x14ac:dyDescent="0.2">
      <c r="A15" s="16" t="s">
        <v>23</v>
      </c>
      <c r="B15" s="174">
        <f>SUM(Příjmy!F361)</f>
        <v>6388</v>
      </c>
      <c r="C15" s="174">
        <f>SUM(Příjmy!G361)</f>
        <v>6922</v>
      </c>
      <c r="D15" s="472">
        <f>SUM(Příjmy!H361)</f>
        <v>741983</v>
      </c>
      <c r="E15" s="1">
        <f t="shared" si="0"/>
        <v>10719.1996532794</v>
      </c>
      <c r="H15" s="302">
        <f>Příjmy!K376</f>
        <v>6388000</v>
      </c>
      <c r="I15" s="302">
        <f>Příjmy!L376</f>
        <v>6922000</v>
      </c>
      <c r="J15" s="302">
        <f>Příjmy!M376</f>
        <v>741982654.72000003</v>
      </c>
      <c r="K15" s="211"/>
    </row>
    <row r="16" spans="1:11" s="15" customFormat="1" ht="52.5" customHeight="1" thickBot="1" x14ac:dyDescent="0.3">
      <c r="A16" s="24" t="s">
        <v>24</v>
      </c>
      <c r="B16" s="70">
        <f>B14-B15</f>
        <v>3578227</v>
      </c>
      <c r="C16" s="70">
        <f t="shared" ref="C16:D16" si="3">C14-C15</f>
        <v>10372231</v>
      </c>
      <c r="D16" s="70">
        <f t="shared" si="3"/>
        <v>10413789</v>
      </c>
      <c r="E16" s="25">
        <f>(D16/C16)*100</f>
        <v>100.400665970513</v>
      </c>
      <c r="H16" s="317">
        <f>H14-H15</f>
        <v>3578227000</v>
      </c>
      <c r="I16" s="317">
        <f>I14-I15</f>
        <v>10372230832.659998</v>
      </c>
      <c r="J16" s="317">
        <f>J14-J15</f>
        <v>10413789330.500004</v>
      </c>
      <c r="K16" s="211"/>
    </row>
    <row r="17" spans="1:14" ht="13.5" thickTop="1" x14ac:dyDescent="0.2">
      <c r="A17" s="173"/>
      <c r="B17" s="173"/>
      <c r="C17" s="173"/>
      <c r="D17" s="173"/>
      <c r="E17" s="173"/>
    </row>
    <row r="18" spans="1:14" x14ac:dyDescent="0.2">
      <c r="B18" s="173"/>
      <c r="C18" s="173"/>
      <c r="D18" s="173"/>
      <c r="E18" s="173"/>
    </row>
    <row r="19" spans="1:14" x14ac:dyDescent="0.2">
      <c r="B19" s="173"/>
      <c r="C19" s="173"/>
      <c r="D19" s="173"/>
      <c r="E19" s="173"/>
    </row>
    <row r="20" spans="1:14" ht="15.75" x14ac:dyDescent="0.25">
      <c r="A20" s="6" t="s">
        <v>34</v>
      </c>
      <c r="B20" s="173"/>
      <c r="C20" s="173"/>
      <c r="D20" s="173"/>
      <c r="E20" s="173"/>
    </row>
    <row r="21" spans="1:14" ht="13.5" thickBot="1" x14ac:dyDescent="0.25">
      <c r="B21" s="18"/>
      <c r="C21" s="19"/>
      <c r="D21" s="18">
        <f>SUM(D20:D20)</f>
        <v>0</v>
      </c>
      <c r="E21" s="7" t="s">
        <v>0</v>
      </c>
      <c r="J21" s="305" t="s">
        <v>125</v>
      </c>
      <c r="L21" s="18"/>
      <c r="M21" s="18"/>
      <c r="N21" s="18"/>
    </row>
    <row r="22" spans="1:14" s="21" customFormat="1" ht="18.75" customHeight="1" thickTop="1" thickBot="1" x14ac:dyDescent="0.25">
      <c r="A22" s="20" t="s">
        <v>30</v>
      </c>
      <c r="B22" s="9" t="s">
        <v>4</v>
      </c>
      <c r="C22" s="9" t="s">
        <v>5</v>
      </c>
      <c r="D22" s="9" t="s">
        <v>18</v>
      </c>
      <c r="E22" s="10" t="s">
        <v>19</v>
      </c>
      <c r="H22" s="301" t="s">
        <v>4</v>
      </c>
      <c r="I22" s="301" t="s">
        <v>5</v>
      </c>
      <c r="J22" s="301" t="s">
        <v>18</v>
      </c>
      <c r="K22" s="212"/>
      <c r="L22" s="141"/>
      <c r="M22" s="141"/>
      <c r="N22" s="141"/>
    </row>
    <row r="23" spans="1:14" s="11" customFormat="1" thickTop="1" thickBot="1" x14ac:dyDescent="0.25">
      <c r="A23" s="12">
        <v>1</v>
      </c>
      <c r="B23" s="9">
        <v>2</v>
      </c>
      <c r="C23" s="9">
        <v>3</v>
      </c>
      <c r="D23" s="9">
        <v>4</v>
      </c>
      <c r="E23" s="13" t="s">
        <v>37</v>
      </c>
      <c r="H23" s="301">
        <v>2</v>
      </c>
      <c r="I23" s="301">
        <v>3</v>
      </c>
      <c r="J23" s="301">
        <v>4</v>
      </c>
      <c r="K23" s="210"/>
      <c r="L23" s="306"/>
      <c r="M23" s="307"/>
      <c r="N23" s="140"/>
    </row>
    <row r="24" spans="1:14" ht="18.95" customHeight="1" thickTop="1" x14ac:dyDescent="0.2">
      <c r="A24" s="175" t="s">
        <v>50</v>
      </c>
      <c r="B24" s="477">
        <f>SUM(Příjmy!F380)</f>
        <v>3196712</v>
      </c>
      <c r="C24" s="477">
        <f>SUM(Příjmy!G380)</f>
        <v>3204159</v>
      </c>
      <c r="D24" s="477">
        <f>SUM(Příjmy!H380)</f>
        <v>3427194</v>
      </c>
      <c r="E24" s="1">
        <f>(D24/C24)*100</f>
        <v>106.96079688929294</v>
      </c>
      <c r="H24" s="471">
        <f>Příjmy!K380</f>
        <v>3196712000</v>
      </c>
      <c r="I24" s="471">
        <f>Příjmy!L380</f>
        <v>3204159330</v>
      </c>
      <c r="J24" s="471">
        <f>Příjmy!M380</f>
        <v>3427194311.0100002</v>
      </c>
      <c r="L24" s="306"/>
      <c r="M24" s="143"/>
      <c r="N24" s="142"/>
    </row>
    <row r="25" spans="1:14" ht="18.95" customHeight="1" x14ac:dyDescent="0.2">
      <c r="A25" s="175" t="s">
        <v>51</v>
      </c>
      <c r="B25" s="472">
        <f>SUM(Příjmy!F381)</f>
        <v>289261</v>
      </c>
      <c r="C25" s="472">
        <f>SUM(Příjmy!G381)</f>
        <v>269822</v>
      </c>
      <c r="D25" s="472">
        <f>SUM(Příjmy!H381)</f>
        <v>302196</v>
      </c>
      <c r="E25" s="1">
        <f t="shared" ref="E25:E29" si="4">(D25/C25)*100</f>
        <v>111.99828034778483</v>
      </c>
      <c r="H25" s="471">
        <f>Příjmy!K381</f>
        <v>289261000</v>
      </c>
      <c r="I25" s="471">
        <f>Příjmy!L381</f>
        <v>269821808.49000001</v>
      </c>
      <c r="J25" s="471">
        <f>Příjmy!M381</f>
        <v>302195702.36000001</v>
      </c>
      <c r="L25" s="306"/>
      <c r="M25" s="308"/>
      <c r="N25" s="142"/>
    </row>
    <row r="26" spans="1:14" ht="18.95" customHeight="1" x14ac:dyDescent="0.2">
      <c r="A26" s="175" t="s">
        <v>52</v>
      </c>
      <c r="B26" s="472">
        <f>SUM(Příjmy!F382)</f>
        <v>18400</v>
      </c>
      <c r="C26" s="472">
        <f>SUM(Příjmy!G382)</f>
        <v>18400</v>
      </c>
      <c r="D26" s="472">
        <f>SUM(Příjmy!H382)</f>
        <v>6489</v>
      </c>
      <c r="E26" s="1">
        <f>(D26/C26)*100</f>
        <v>35.266304347826086</v>
      </c>
      <c r="H26" s="471">
        <f>Příjmy!K382</f>
        <v>18400000</v>
      </c>
      <c r="I26" s="471">
        <f>Příjmy!L382</f>
        <v>18400000</v>
      </c>
      <c r="J26" s="471">
        <f>Příjmy!M382</f>
        <v>6488943.4000000004</v>
      </c>
      <c r="L26" s="306"/>
      <c r="M26" s="307"/>
      <c r="N26" s="142"/>
    </row>
    <row r="27" spans="1:14" ht="18.95" customHeight="1" x14ac:dyDescent="0.2">
      <c r="A27" s="176" t="s">
        <v>53</v>
      </c>
      <c r="B27" s="478">
        <f>SUM(Příjmy!F383)</f>
        <v>80242</v>
      </c>
      <c r="C27" s="478">
        <f>SUM(Příjmy!G383)</f>
        <v>6886772</v>
      </c>
      <c r="D27" s="478">
        <f>SUM(Příjmy!H383)</f>
        <v>7419893</v>
      </c>
      <c r="E27" s="205">
        <f t="shared" si="4"/>
        <v>107.74123203149458</v>
      </c>
      <c r="G27" s="69"/>
      <c r="H27" s="471">
        <f>Příjmy!K383</f>
        <v>80242000</v>
      </c>
      <c r="I27" s="471">
        <f>Příjmy!L383</f>
        <v>6886771693.8699999</v>
      </c>
      <c r="J27" s="302">
        <f>Příjmy!M383</f>
        <v>7419893028.4499998</v>
      </c>
      <c r="L27" s="306"/>
      <c r="M27" s="309"/>
      <c r="N27" s="142"/>
    </row>
    <row r="28" spans="1:14" ht="18.95" customHeight="1" x14ac:dyDescent="0.25">
      <c r="A28" s="22" t="s">
        <v>31</v>
      </c>
      <c r="B28" s="479">
        <f>SUM(B24:B27)</f>
        <v>3584615</v>
      </c>
      <c r="C28" s="479">
        <f t="shared" ref="C28:D28" si="5">SUM(C24:C27)</f>
        <v>10379153</v>
      </c>
      <c r="D28" s="479">
        <f t="shared" si="5"/>
        <v>11155772</v>
      </c>
      <c r="E28" s="23">
        <f>(D28/C28)*100</f>
        <v>107.48248917806684</v>
      </c>
      <c r="H28" s="469">
        <f>H24+H25+H26+H27</f>
        <v>3584615000</v>
      </c>
      <c r="I28" s="469">
        <f>I24+I25+I26+I27</f>
        <v>10379152832.360001</v>
      </c>
      <c r="J28" s="317">
        <f>J24+J25+J26+J27</f>
        <v>11155771985.220001</v>
      </c>
      <c r="L28" s="309"/>
      <c r="M28" s="309"/>
      <c r="N28" s="142"/>
    </row>
    <row r="29" spans="1:14" s="15" customFormat="1" ht="21.75" customHeight="1" x14ac:dyDescent="0.2">
      <c r="A29" s="16" t="s">
        <v>23</v>
      </c>
      <c r="B29" s="472">
        <f>Příjmy!F361</f>
        <v>6388</v>
      </c>
      <c r="C29" s="480">
        <f>Příjmy!G361</f>
        <v>6922</v>
      </c>
      <c r="D29" s="472">
        <f>Příjmy!H361</f>
        <v>741983</v>
      </c>
      <c r="E29" s="1">
        <f t="shared" si="4"/>
        <v>10719.1996532794</v>
      </c>
      <c r="H29" s="471">
        <f>Příjmy!K376</f>
        <v>6388000</v>
      </c>
      <c r="I29" s="471">
        <f>Příjmy!L376</f>
        <v>6922000</v>
      </c>
      <c r="J29" s="302">
        <f>Příjmy!M376</f>
        <v>741982654.72000003</v>
      </c>
      <c r="K29" s="211"/>
      <c r="L29" s="310"/>
      <c r="M29" s="310"/>
      <c r="N29" s="142"/>
    </row>
    <row r="30" spans="1:14" s="15" customFormat="1" ht="52.5" customHeight="1" thickBot="1" x14ac:dyDescent="0.3">
      <c r="A30" s="24" t="s">
        <v>24</v>
      </c>
      <c r="B30" s="481">
        <f>B28-B29</f>
        <v>3578227</v>
      </c>
      <c r="C30" s="481">
        <f>C28-C29</f>
        <v>10372231</v>
      </c>
      <c r="D30" s="481">
        <f>D28-D29</f>
        <v>10413789</v>
      </c>
      <c r="E30" s="25">
        <f>(D30/C30)*100</f>
        <v>100.400665970513</v>
      </c>
      <c r="H30" s="469">
        <f>H28-H29</f>
        <v>3578227000</v>
      </c>
      <c r="I30" s="469">
        <f>I28-I29</f>
        <v>10372230832.360001</v>
      </c>
      <c r="J30" s="469">
        <f>J28-J29</f>
        <v>10413789330.500002</v>
      </c>
      <c r="K30" s="206"/>
      <c r="L30" s="306"/>
      <c r="M30" s="310"/>
      <c r="N30" s="142"/>
    </row>
    <row r="31" spans="1:14" ht="13.5" thickTop="1" x14ac:dyDescent="0.2">
      <c r="A31" s="173"/>
      <c r="B31" s="262"/>
      <c r="C31" s="262"/>
      <c r="D31" s="262"/>
      <c r="E31" s="173"/>
      <c r="N31" s="136"/>
    </row>
    <row r="32" spans="1:14" x14ac:dyDescent="0.2">
      <c r="A32" s="173"/>
      <c r="B32" s="173"/>
      <c r="C32" s="173"/>
      <c r="D32" s="173"/>
      <c r="E32" s="173"/>
      <c r="H32" s="303">
        <f>Příjmy!K386+Příjmy!K387+Příjmy!K388</f>
        <v>257333000</v>
      </c>
      <c r="I32" s="303">
        <f>Příjmy!L386+Příjmy!L387+Příjmy!L388</f>
        <v>808186809.45000005</v>
      </c>
      <c r="J32" s="303">
        <f>Příjmy!M386+Příjmy!M387+Příjmy!M388</f>
        <v>808186809.45000005</v>
      </c>
      <c r="K32" s="173" t="s">
        <v>166</v>
      </c>
      <c r="N32" s="136"/>
    </row>
    <row r="33" spans="1:14" x14ac:dyDescent="0.2">
      <c r="A33" s="173"/>
      <c r="B33" s="173"/>
      <c r="C33" s="173"/>
      <c r="D33" s="173"/>
      <c r="E33" s="173"/>
      <c r="H33" s="304">
        <f>H30+H32</f>
        <v>3835560000</v>
      </c>
      <c r="I33" s="304">
        <f>I30+I32</f>
        <v>11180417641.810001</v>
      </c>
      <c r="J33" s="304">
        <f>J30+J32</f>
        <v>11221976139.950003</v>
      </c>
      <c r="N33" s="136"/>
    </row>
    <row r="34" spans="1:14" x14ac:dyDescent="0.2">
      <c r="A34" s="492" t="s">
        <v>54</v>
      </c>
      <c r="B34" s="492"/>
      <c r="C34" s="492"/>
      <c r="D34" s="492"/>
      <c r="E34" s="492"/>
      <c r="H34" s="271"/>
      <c r="I34" s="271"/>
      <c r="J34" s="271"/>
      <c r="N34" s="136"/>
    </row>
    <row r="35" spans="1:14" x14ac:dyDescent="0.2">
      <c r="A35" s="492"/>
      <c r="B35" s="492"/>
      <c r="C35" s="492"/>
      <c r="D35" s="492"/>
      <c r="E35" s="492"/>
      <c r="F35" s="26"/>
      <c r="G35" s="26"/>
      <c r="N35" s="136"/>
    </row>
    <row r="36" spans="1:14" x14ac:dyDescent="0.2">
      <c r="A36" s="26"/>
      <c r="B36" s="26"/>
      <c r="C36" s="26"/>
      <c r="D36" s="26"/>
      <c r="E36" s="26"/>
      <c r="F36" s="26"/>
      <c r="G36" s="26"/>
      <c r="N36" s="136"/>
    </row>
    <row r="37" spans="1:14" x14ac:dyDescent="0.2">
      <c r="F37" s="26"/>
      <c r="G37" s="26"/>
      <c r="N37" s="136"/>
    </row>
    <row r="38" spans="1:14" x14ac:dyDescent="0.2">
      <c r="F38" s="26"/>
      <c r="G38" s="26"/>
      <c r="N38" s="136"/>
    </row>
    <row r="39" spans="1:14" x14ac:dyDescent="0.2">
      <c r="N39" s="21"/>
    </row>
    <row r="40" spans="1:14" x14ac:dyDescent="0.2">
      <c r="N40" s="21"/>
    </row>
  </sheetData>
  <mergeCells count="2">
    <mergeCell ref="A3:E4"/>
    <mergeCell ref="A34:E35"/>
  </mergeCells>
  <phoneticPr fontId="15" type="noConversion"/>
  <pageMargins left="0.98425196850393704" right="0.98425196850393704" top="0.98425196850393704" bottom="0.98425196850393704" header="0.51181102362204722" footer="0.51181102362204722"/>
  <pageSetup paperSize="9" scale="80" firstPageNumber="14" orientation="portrait" useFirstPageNumber="1" r:id="rId1"/>
  <headerFooter alignWithMargins="0">
    <oddFooter xml:space="preserve">&amp;L&amp;"Arial CE,Kurzíva"Zastupitelstvo Olomouckého kraje 26. 6. 2015
4. - Závěrečný účet Olomouckého kraje za rok 2014
Příloha č. 2: Plnění rozpočtu příjmů Olomouckého kraje k 31. 12. 2014&amp;R&amp;"Arial CE,Kurzíva"Strana &amp;P (Celkem 484)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V478"/>
  <sheetViews>
    <sheetView showGridLines="0" tabSelected="1" view="pageBreakPreview" topLeftCell="A22" zoomScaleNormal="100" zoomScaleSheetLayoutView="100" workbookViewId="0">
      <selection activeCell="J7" sqref="J7"/>
    </sheetView>
  </sheetViews>
  <sheetFormatPr defaultRowHeight="14.25" x14ac:dyDescent="0.2"/>
  <cols>
    <col min="1" max="1" width="4.42578125" style="360" customWidth="1"/>
    <col min="2" max="2" width="4.85546875" style="293" customWidth="1"/>
    <col min="3" max="3" width="4.85546875" style="28" customWidth="1"/>
    <col min="4" max="4" width="10" style="29" customWidth="1"/>
    <col min="5" max="5" width="54.140625" style="173" customWidth="1"/>
    <col min="6" max="6" width="11.42578125" style="30" customWidth="1"/>
    <col min="7" max="7" width="12.5703125" style="31" customWidth="1"/>
    <col min="8" max="8" width="12.42578125" style="30" customWidth="1"/>
    <col min="9" max="9" width="7.85546875" style="30" customWidth="1"/>
    <col min="10" max="10" width="10" style="173" customWidth="1"/>
    <col min="11" max="11" width="17.42578125" style="136" customWidth="1"/>
    <col min="12" max="12" width="18.5703125" style="136" customWidth="1"/>
    <col min="13" max="13" width="17.85546875" style="136" customWidth="1"/>
    <col min="14" max="14" width="14.140625" style="295" customWidth="1"/>
    <col min="15" max="15" width="16.42578125" style="173" customWidth="1"/>
    <col min="16" max="16" width="15.42578125" style="173" customWidth="1"/>
    <col min="17" max="17" width="13.140625" style="173" customWidth="1"/>
    <col min="18" max="18" width="16.5703125" style="173" customWidth="1"/>
    <col min="19" max="19" width="18.140625" style="173" customWidth="1"/>
    <col min="20" max="20" width="11.5703125" style="173" customWidth="1"/>
    <col min="21" max="16384" width="9.140625" style="173"/>
  </cols>
  <sheetData>
    <row r="1" spans="1:14" ht="23.25" x14ac:dyDescent="0.35">
      <c r="A1" s="27" t="s">
        <v>201</v>
      </c>
      <c r="B1" s="27"/>
      <c r="C1" s="359"/>
      <c r="D1" s="359"/>
      <c r="E1" s="359"/>
      <c r="F1" s="359"/>
      <c r="G1" s="359"/>
      <c r="H1" s="359"/>
      <c r="I1" s="359"/>
    </row>
    <row r="2" spans="1:14" ht="23.25" x14ac:dyDescent="0.35">
      <c r="B2" s="27"/>
      <c r="C2" s="359"/>
      <c r="D2" s="359"/>
      <c r="E2" s="359"/>
      <c r="F2" s="359"/>
      <c r="G2" s="359"/>
      <c r="H2" s="359"/>
      <c r="I2" s="359"/>
    </row>
    <row r="3" spans="1:14" ht="15" customHeight="1" x14ac:dyDescent="0.35">
      <c r="A3" s="123" t="s">
        <v>99</v>
      </c>
      <c r="B3" s="94"/>
      <c r="C3" s="293"/>
      <c r="D3" s="293"/>
      <c r="E3" s="293"/>
      <c r="F3" s="293"/>
      <c r="G3" s="293"/>
      <c r="H3" s="293"/>
      <c r="I3" s="293"/>
    </row>
    <row r="4" spans="1:14" ht="13.5" customHeight="1" thickBot="1" x14ac:dyDescent="0.25">
      <c r="A4" s="95"/>
      <c r="I4" s="32" t="s">
        <v>0</v>
      </c>
    </row>
    <row r="5" spans="1:14" s="37" customFormat="1" ht="20.25" customHeight="1" thickTop="1" thickBot="1" x14ac:dyDescent="0.25">
      <c r="A5" s="74" t="s">
        <v>73</v>
      </c>
      <c r="B5" s="72" t="s">
        <v>13</v>
      </c>
      <c r="C5" s="33" t="s">
        <v>2</v>
      </c>
      <c r="D5" s="450" t="s">
        <v>326</v>
      </c>
      <c r="E5" s="34" t="s">
        <v>3</v>
      </c>
      <c r="F5" s="35" t="s">
        <v>4</v>
      </c>
      <c r="G5" s="35" t="s">
        <v>5</v>
      </c>
      <c r="H5" s="35" t="s">
        <v>18</v>
      </c>
      <c r="I5" s="36" t="s">
        <v>19</v>
      </c>
      <c r="K5" s="154"/>
      <c r="L5" s="154"/>
      <c r="M5" s="154"/>
      <c r="N5" s="361"/>
    </row>
    <row r="6" spans="1:14" s="38" customFormat="1" ht="12.75" thickTop="1" x14ac:dyDescent="0.2">
      <c r="A6" s="90">
        <v>1</v>
      </c>
      <c r="B6" s="85">
        <v>2</v>
      </c>
      <c r="C6" s="86">
        <v>3</v>
      </c>
      <c r="D6" s="85">
        <v>4</v>
      </c>
      <c r="E6" s="86">
        <v>5</v>
      </c>
      <c r="F6" s="85">
        <v>6</v>
      </c>
      <c r="G6" s="87">
        <v>7</v>
      </c>
      <c r="H6" s="88">
        <v>8</v>
      </c>
      <c r="I6" s="89" t="s">
        <v>74</v>
      </c>
      <c r="J6" s="37"/>
      <c r="K6" s="213"/>
      <c r="L6" s="213"/>
      <c r="M6" s="213"/>
      <c r="N6" s="362"/>
    </row>
    <row r="7" spans="1:14" s="38" customFormat="1" ht="15" x14ac:dyDescent="0.25">
      <c r="A7" s="363" t="s">
        <v>127</v>
      </c>
      <c r="B7" s="144">
        <v>6113</v>
      </c>
      <c r="C7" s="322">
        <v>2324</v>
      </c>
      <c r="D7" s="79"/>
      <c r="E7" s="150" t="s">
        <v>22</v>
      </c>
      <c r="F7" s="79"/>
      <c r="G7" s="203"/>
      <c r="H7" s="145">
        <v>13</v>
      </c>
      <c r="I7" s="146">
        <v>0</v>
      </c>
      <c r="J7" s="37"/>
      <c r="K7" s="451"/>
      <c r="L7" s="451"/>
      <c r="M7" s="451"/>
      <c r="N7" s="362"/>
    </row>
    <row r="8" spans="1:14" s="371" customFormat="1" x14ac:dyDescent="0.2">
      <c r="A8" s="364" t="s">
        <v>127</v>
      </c>
      <c r="B8" s="365"/>
      <c r="C8" s="366"/>
      <c r="D8" s="367"/>
      <c r="E8" s="113" t="s">
        <v>104</v>
      </c>
      <c r="F8" s="368">
        <f>F2+F3</f>
        <v>0</v>
      </c>
      <c r="G8" s="369">
        <v>0</v>
      </c>
      <c r="H8" s="369">
        <f>H7</f>
        <v>13</v>
      </c>
      <c r="I8" s="114">
        <v>0</v>
      </c>
      <c r="J8" s="115"/>
      <c r="K8" s="452">
        <v>0</v>
      </c>
      <c r="L8" s="452">
        <v>0</v>
      </c>
      <c r="M8" s="452">
        <v>13093.33</v>
      </c>
      <c r="N8" s="370"/>
    </row>
    <row r="9" spans="1:14" s="37" customFormat="1" ht="15" x14ac:dyDescent="0.25">
      <c r="A9" s="91" t="s">
        <v>75</v>
      </c>
      <c r="B9" s="104"/>
      <c r="C9" s="82">
        <v>2420</v>
      </c>
      <c r="D9" s="41"/>
      <c r="E9" s="148" t="s">
        <v>106</v>
      </c>
      <c r="F9" s="177">
        <v>400</v>
      </c>
      <c r="G9" s="179"/>
      <c r="H9" s="182">
        <v>400</v>
      </c>
      <c r="I9" s="42">
        <v>0</v>
      </c>
      <c r="K9" s="154"/>
      <c r="L9" s="154"/>
      <c r="M9" s="154"/>
      <c r="N9" s="361"/>
    </row>
    <row r="10" spans="1:14" s="37" customFormat="1" ht="15" x14ac:dyDescent="0.25">
      <c r="A10" s="91" t="s">
        <v>75</v>
      </c>
      <c r="B10" s="104"/>
      <c r="C10" s="82">
        <v>2441</v>
      </c>
      <c r="D10" s="41"/>
      <c r="E10" s="148" t="s">
        <v>40</v>
      </c>
      <c r="F10" s="177"/>
      <c r="G10" s="179"/>
      <c r="H10" s="182">
        <v>135</v>
      </c>
      <c r="I10" s="42">
        <v>0</v>
      </c>
      <c r="K10" s="154"/>
      <c r="L10" s="154"/>
      <c r="M10" s="154"/>
      <c r="N10" s="361"/>
    </row>
    <row r="11" spans="1:14" s="37" customFormat="1" ht="15" x14ac:dyDescent="0.25">
      <c r="A11" s="91" t="s">
        <v>75</v>
      </c>
      <c r="B11" s="104">
        <v>6402</v>
      </c>
      <c r="C11" s="82">
        <v>2223</v>
      </c>
      <c r="D11" s="66"/>
      <c r="E11" s="59" t="s">
        <v>39</v>
      </c>
      <c r="F11" s="177"/>
      <c r="G11" s="191">
        <v>31</v>
      </c>
      <c r="H11" s="191">
        <v>31</v>
      </c>
      <c r="I11" s="42">
        <f t="shared" ref="I11" si="0">(H11/G11)*100</f>
        <v>100</v>
      </c>
      <c r="K11" s="154"/>
      <c r="L11" s="154"/>
      <c r="M11" s="154"/>
      <c r="N11" s="361"/>
    </row>
    <row r="12" spans="1:14" s="371" customFormat="1" x14ac:dyDescent="0.2">
      <c r="A12" s="364" t="s">
        <v>75</v>
      </c>
      <c r="B12" s="365"/>
      <c r="C12" s="366"/>
      <c r="D12" s="367"/>
      <c r="E12" s="113" t="s">
        <v>104</v>
      </c>
      <c r="F12" s="368">
        <f>F9</f>
        <v>400</v>
      </c>
      <c r="G12" s="369">
        <f>G9+G11</f>
        <v>31</v>
      </c>
      <c r="H12" s="369">
        <f>H9+H10+H11</f>
        <v>566</v>
      </c>
      <c r="I12" s="114">
        <f>(H12/G12)*100</f>
        <v>1825.8064516129032</v>
      </c>
      <c r="J12" s="115"/>
      <c r="K12" s="452">
        <v>400200</v>
      </c>
      <c r="L12" s="452">
        <v>31015.5</v>
      </c>
      <c r="M12" s="452">
        <v>566115.5</v>
      </c>
      <c r="N12" s="453"/>
    </row>
    <row r="13" spans="1:14" s="38" customFormat="1" ht="15" x14ac:dyDescent="0.2">
      <c r="A13" s="103" t="s">
        <v>76</v>
      </c>
      <c r="B13" s="372"/>
      <c r="C13" s="322">
        <v>1361</v>
      </c>
      <c r="D13" s="79"/>
      <c r="E13" s="59" t="s">
        <v>1</v>
      </c>
      <c r="F13" s="200"/>
      <c r="G13" s="201"/>
      <c r="H13" s="202">
        <v>3</v>
      </c>
      <c r="I13" s="42">
        <v>0</v>
      </c>
      <c r="J13" s="37"/>
      <c r="K13" s="213"/>
      <c r="L13" s="213"/>
      <c r="M13" s="213"/>
      <c r="N13" s="362"/>
    </row>
    <row r="14" spans="1:14" s="38" customFormat="1" ht="15" x14ac:dyDescent="0.2">
      <c r="A14" s="103" t="s">
        <v>76</v>
      </c>
      <c r="B14" s="372">
        <v>6172</v>
      </c>
      <c r="C14" s="322">
        <v>2131</v>
      </c>
      <c r="D14" s="79"/>
      <c r="E14" s="59" t="s">
        <v>21</v>
      </c>
      <c r="F14" s="200">
        <v>43</v>
      </c>
      <c r="G14" s="201">
        <v>43</v>
      </c>
      <c r="H14" s="202">
        <v>43</v>
      </c>
      <c r="I14" s="42">
        <f>(H14/G14)*100</f>
        <v>100</v>
      </c>
      <c r="J14" s="37"/>
      <c r="K14" s="213"/>
      <c r="L14" s="213"/>
      <c r="M14" s="213"/>
      <c r="N14" s="362"/>
    </row>
    <row r="15" spans="1:14" s="38" customFormat="1" ht="15" x14ac:dyDescent="0.2">
      <c r="A15" s="103" t="s">
        <v>76</v>
      </c>
      <c r="B15" s="372">
        <v>6172</v>
      </c>
      <c r="C15" s="322">
        <v>2132</v>
      </c>
      <c r="D15" s="79"/>
      <c r="E15" s="64" t="s">
        <v>38</v>
      </c>
      <c r="F15" s="200">
        <v>153</v>
      </c>
      <c r="G15" s="201">
        <v>153</v>
      </c>
      <c r="H15" s="202">
        <v>202</v>
      </c>
      <c r="I15" s="42">
        <f>(H15/G15)*100</f>
        <v>132.02614379084966</v>
      </c>
      <c r="J15" s="37"/>
      <c r="K15" s="213"/>
      <c r="L15" s="213"/>
      <c r="M15" s="213"/>
      <c r="N15" s="362"/>
    </row>
    <row r="16" spans="1:14" s="38" customFormat="1" ht="15" x14ac:dyDescent="0.2">
      <c r="A16" s="103" t="s">
        <v>76</v>
      </c>
      <c r="B16" s="372">
        <v>6172</v>
      </c>
      <c r="C16" s="322">
        <v>2133</v>
      </c>
      <c r="D16" s="79"/>
      <c r="E16" s="64" t="s">
        <v>28</v>
      </c>
      <c r="F16" s="200">
        <v>22</v>
      </c>
      <c r="G16" s="201">
        <v>22</v>
      </c>
      <c r="H16" s="202">
        <v>94</v>
      </c>
      <c r="I16" s="42">
        <f>(H16/G16)*100</f>
        <v>427.27272727272725</v>
      </c>
      <c r="J16" s="37"/>
      <c r="K16" s="213"/>
      <c r="L16" s="213"/>
      <c r="M16" s="213"/>
      <c r="N16" s="362"/>
    </row>
    <row r="17" spans="1:14" s="38" customFormat="1" ht="15" x14ac:dyDescent="0.2">
      <c r="A17" s="103" t="s">
        <v>76</v>
      </c>
      <c r="B17" s="372">
        <v>6172</v>
      </c>
      <c r="C17" s="322">
        <v>2211</v>
      </c>
      <c r="D17" s="79"/>
      <c r="E17" s="53" t="s">
        <v>108</v>
      </c>
      <c r="F17" s="200"/>
      <c r="G17" s="201"/>
      <c r="H17" s="202">
        <v>18</v>
      </c>
      <c r="I17" s="42">
        <v>0</v>
      </c>
      <c r="J17" s="37"/>
      <c r="K17" s="213"/>
      <c r="L17" s="213"/>
      <c r="M17" s="213"/>
      <c r="N17" s="362"/>
    </row>
    <row r="18" spans="1:14" s="38" customFormat="1" ht="15" x14ac:dyDescent="0.2">
      <c r="A18" s="103" t="s">
        <v>76</v>
      </c>
      <c r="B18" s="372">
        <v>6172</v>
      </c>
      <c r="C18" s="322">
        <v>2310</v>
      </c>
      <c r="D18" s="79"/>
      <c r="E18" s="149" t="s">
        <v>153</v>
      </c>
      <c r="F18" s="200"/>
      <c r="G18" s="201"/>
      <c r="H18" s="202">
        <v>23</v>
      </c>
      <c r="I18" s="42">
        <v>0</v>
      </c>
      <c r="J18" s="37"/>
      <c r="K18" s="213"/>
      <c r="L18" s="213"/>
      <c r="M18" s="213"/>
      <c r="N18" s="362"/>
    </row>
    <row r="19" spans="1:14" s="38" customFormat="1" ht="15" x14ac:dyDescent="0.2">
      <c r="A19" s="103" t="s">
        <v>76</v>
      </c>
      <c r="B19" s="372">
        <v>6172</v>
      </c>
      <c r="C19" s="322">
        <v>2324</v>
      </c>
      <c r="D19" s="79"/>
      <c r="E19" s="59" t="s">
        <v>22</v>
      </c>
      <c r="F19" s="200"/>
      <c r="G19" s="198">
        <v>1589</v>
      </c>
      <c r="H19" s="199">
        <v>2166</v>
      </c>
      <c r="I19" s="42">
        <f>(H19/G19)*100</f>
        <v>136.31214600377598</v>
      </c>
      <c r="J19" s="37"/>
      <c r="K19" s="213"/>
      <c r="L19" s="213"/>
      <c r="M19" s="213"/>
      <c r="N19" s="362"/>
    </row>
    <row r="20" spans="1:14" s="38" customFormat="1" ht="15" x14ac:dyDescent="0.2">
      <c r="A20" s="103" t="s">
        <v>76</v>
      </c>
      <c r="B20" s="372">
        <v>6172</v>
      </c>
      <c r="C20" s="322">
        <v>2329</v>
      </c>
      <c r="D20" s="79"/>
      <c r="E20" s="59" t="s">
        <v>287</v>
      </c>
      <c r="F20" s="200"/>
      <c r="G20" s="201"/>
      <c r="H20" s="199">
        <v>1</v>
      </c>
      <c r="I20" s="42">
        <v>0</v>
      </c>
      <c r="J20" s="37"/>
      <c r="K20" s="213"/>
      <c r="L20" s="213"/>
      <c r="M20" s="213"/>
      <c r="N20" s="362"/>
    </row>
    <row r="21" spans="1:14" s="38" customFormat="1" ht="15" x14ac:dyDescent="0.2">
      <c r="A21" s="103" t="s">
        <v>76</v>
      </c>
      <c r="B21" s="372">
        <v>6402</v>
      </c>
      <c r="C21" s="322">
        <v>2223</v>
      </c>
      <c r="D21" s="79"/>
      <c r="E21" s="59" t="s">
        <v>39</v>
      </c>
      <c r="F21" s="200"/>
      <c r="G21" s="201">
        <v>7</v>
      </c>
      <c r="H21" s="199">
        <v>7</v>
      </c>
      <c r="I21" s="42">
        <f>(H21/G21)*100</f>
        <v>100</v>
      </c>
      <c r="J21" s="37"/>
      <c r="K21" s="213"/>
      <c r="L21" s="213"/>
      <c r="M21" s="213"/>
      <c r="N21" s="362"/>
    </row>
    <row r="22" spans="1:14" s="371" customFormat="1" x14ac:dyDescent="0.2">
      <c r="A22" s="364" t="s">
        <v>76</v>
      </c>
      <c r="B22" s="365"/>
      <c r="C22" s="373"/>
      <c r="D22" s="367"/>
      <c r="E22" s="113" t="s">
        <v>104</v>
      </c>
      <c r="F22" s="368">
        <f>F14+F15+F16</f>
        <v>218</v>
      </c>
      <c r="G22" s="374">
        <f>G14+G15+G16+G19+G21</f>
        <v>1814</v>
      </c>
      <c r="H22" s="368">
        <f>H13+H14+H15+H16+H17+H18+H19+H20+H21</f>
        <v>2557</v>
      </c>
      <c r="I22" s="114">
        <f>(H22/G22)*100</f>
        <v>140.95920617420066</v>
      </c>
      <c r="J22" s="115"/>
      <c r="K22" s="452">
        <v>218000</v>
      </c>
      <c r="L22" s="452">
        <v>1814061.35</v>
      </c>
      <c r="M22" s="452">
        <v>2557112.4900000002</v>
      </c>
      <c r="N22" s="370"/>
    </row>
    <row r="23" spans="1:14" s="38" customFormat="1" ht="15" x14ac:dyDescent="0.2">
      <c r="A23" s="103" t="s">
        <v>77</v>
      </c>
      <c r="B23" s="372">
        <v>6172</v>
      </c>
      <c r="C23" s="322">
        <v>2119</v>
      </c>
      <c r="D23" s="79"/>
      <c r="E23" s="59" t="s">
        <v>55</v>
      </c>
      <c r="F23" s="200"/>
      <c r="G23" s="201"/>
      <c r="H23" s="202">
        <v>136</v>
      </c>
      <c r="I23" s="42">
        <v>0</v>
      </c>
      <c r="J23" s="37"/>
      <c r="K23" s="213"/>
      <c r="L23" s="213"/>
      <c r="M23" s="213"/>
      <c r="N23" s="362"/>
    </row>
    <row r="24" spans="1:14" s="38" customFormat="1" ht="15" x14ac:dyDescent="0.2">
      <c r="A24" s="103" t="s">
        <v>77</v>
      </c>
      <c r="B24" s="372">
        <v>6172</v>
      </c>
      <c r="C24" s="322">
        <v>2131</v>
      </c>
      <c r="D24" s="79"/>
      <c r="E24" s="149" t="s">
        <v>21</v>
      </c>
      <c r="F24" s="200"/>
      <c r="G24" s="201"/>
      <c r="H24" s="202">
        <v>1</v>
      </c>
      <c r="I24" s="42">
        <v>0</v>
      </c>
      <c r="J24" s="37"/>
      <c r="K24" s="213"/>
      <c r="L24" s="213"/>
      <c r="M24" s="213"/>
      <c r="N24" s="362"/>
    </row>
    <row r="25" spans="1:14" s="38" customFormat="1" ht="15" x14ac:dyDescent="0.2">
      <c r="A25" s="103" t="s">
        <v>77</v>
      </c>
      <c r="B25" s="372">
        <v>6172</v>
      </c>
      <c r="C25" s="322">
        <v>2324</v>
      </c>
      <c r="D25" s="79"/>
      <c r="E25" s="59" t="s">
        <v>22</v>
      </c>
      <c r="F25" s="200"/>
      <c r="G25" s="201"/>
      <c r="H25" s="202">
        <v>154</v>
      </c>
      <c r="I25" s="42">
        <v>0</v>
      </c>
      <c r="J25" s="37"/>
      <c r="K25" s="213"/>
      <c r="L25" s="213"/>
      <c r="M25" s="213"/>
      <c r="N25" s="362"/>
    </row>
    <row r="26" spans="1:14" s="38" customFormat="1" ht="15" x14ac:dyDescent="0.2">
      <c r="A26" s="103" t="s">
        <v>77</v>
      </c>
      <c r="B26" s="372">
        <v>6172</v>
      </c>
      <c r="C26" s="322">
        <v>3111</v>
      </c>
      <c r="D26" s="79"/>
      <c r="E26" s="59" t="s">
        <v>15</v>
      </c>
      <c r="F26" s="78">
        <v>400</v>
      </c>
      <c r="G26" s="71">
        <v>400</v>
      </c>
      <c r="H26" s="77">
        <v>2230</v>
      </c>
      <c r="I26" s="42">
        <f>(H26/G26)*100</f>
        <v>557.5</v>
      </c>
      <c r="J26" s="37"/>
      <c r="K26" s="213"/>
      <c r="L26" s="213"/>
      <c r="M26" s="213"/>
      <c r="N26" s="362"/>
    </row>
    <row r="27" spans="1:14" s="38" customFormat="1" ht="15" x14ac:dyDescent="0.2">
      <c r="A27" s="103" t="s">
        <v>77</v>
      </c>
      <c r="B27" s="372">
        <v>6172</v>
      </c>
      <c r="C27" s="322">
        <v>3112</v>
      </c>
      <c r="D27" s="79"/>
      <c r="E27" s="59" t="s">
        <v>41</v>
      </c>
      <c r="F27" s="78">
        <v>18000</v>
      </c>
      <c r="G27" s="71">
        <v>18000</v>
      </c>
      <c r="H27" s="77">
        <v>4259</v>
      </c>
      <c r="I27" s="42">
        <f>(H27/G27)*100</f>
        <v>23.661111111111111</v>
      </c>
      <c r="J27" s="37"/>
      <c r="K27" s="213"/>
      <c r="L27" s="213"/>
      <c r="M27" s="213"/>
      <c r="N27" s="362"/>
    </row>
    <row r="28" spans="1:14" s="371" customFormat="1" x14ac:dyDescent="0.2">
      <c r="A28" s="364" t="s">
        <v>77</v>
      </c>
      <c r="B28" s="365"/>
      <c r="C28" s="373"/>
      <c r="D28" s="367"/>
      <c r="E28" s="113" t="s">
        <v>104</v>
      </c>
      <c r="F28" s="375">
        <f>F26+F27</f>
        <v>18400</v>
      </c>
      <c r="G28" s="375">
        <f>G26+G27</f>
        <v>18400</v>
      </c>
      <c r="H28" s="375">
        <f>H23+H24+H25+H26+H27</f>
        <v>6780</v>
      </c>
      <c r="I28" s="114">
        <f>(H28/G28)*100</f>
        <v>36.847826086956523</v>
      </c>
      <c r="J28" s="115"/>
      <c r="K28" s="452">
        <v>18400000</v>
      </c>
      <c r="L28" s="452">
        <v>18400000</v>
      </c>
      <c r="M28" s="452">
        <v>6779879.0700000003</v>
      </c>
      <c r="N28" s="370"/>
    </row>
    <row r="29" spans="1:14" s="38" customFormat="1" ht="15" x14ac:dyDescent="0.2">
      <c r="A29" s="103" t="s">
        <v>78</v>
      </c>
      <c r="B29" s="372"/>
      <c r="C29" s="322">
        <v>1361</v>
      </c>
      <c r="D29" s="79"/>
      <c r="E29" s="59" t="s">
        <v>1</v>
      </c>
      <c r="F29" s="197">
        <v>200</v>
      </c>
      <c r="G29" s="198">
        <v>200</v>
      </c>
      <c r="H29" s="199">
        <v>317</v>
      </c>
      <c r="I29" s="42">
        <f>(H29/G29)*100</f>
        <v>158.5</v>
      </c>
      <c r="J29" s="37"/>
      <c r="K29" s="213"/>
      <c r="L29" s="213"/>
      <c r="M29" s="213"/>
      <c r="N29" s="362"/>
    </row>
    <row r="30" spans="1:14" s="38" customFormat="1" ht="15" x14ac:dyDescent="0.2">
      <c r="A30" s="103" t="s">
        <v>78</v>
      </c>
      <c r="B30" s="372">
        <v>6172</v>
      </c>
      <c r="C30" s="322">
        <v>2324</v>
      </c>
      <c r="D30" s="79"/>
      <c r="E30" s="59" t="s">
        <v>22</v>
      </c>
      <c r="F30" s="197"/>
      <c r="G30" s="198"/>
      <c r="H30" s="199">
        <v>25</v>
      </c>
      <c r="I30" s="42">
        <v>0</v>
      </c>
      <c r="J30" s="37"/>
      <c r="K30" s="213"/>
      <c r="L30" s="213"/>
      <c r="M30" s="213"/>
      <c r="N30" s="362"/>
    </row>
    <row r="31" spans="1:14" s="371" customFormat="1" x14ac:dyDescent="0.2">
      <c r="A31" s="364" t="s">
        <v>78</v>
      </c>
      <c r="B31" s="365"/>
      <c r="C31" s="373"/>
      <c r="D31" s="367"/>
      <c r="E31" s="113" t="s">
        <v>104</v>
      </c>
      <c r="F31" s="375">
        <f>SUM(F29)</f>
        <v>200</v>
      </c>
      <c r="G31" s="375">
        <f>SUM(G29)</f>
        <v>200</v>
      </c>
      <c r="H31" s="375">
        <f>H29+H30</f>
        <v>342</v>
      </c>
      <c r="I31" s="114">
        <f t="shared" ref="I31:I36" si="1">(H31/G31)*100</f>
        <v>171</v>
      </c>
      <c r="J31" s="115"/>
      <c r="K31" s="452">
        <v>200000</v>
      </c>
      <c r="L31" s="452">
        <v>200000</v>
      </c>
      <c r="M31" s="452">
        <v>342096</v>
      </c>
      <c r="N31" s="370"/>
    </row>
    <row r="32" spans="1:14" s="39" customFormat="1" ht="30" x14ac:dyDescent="0.2">
      <c r="A32" s="92" t="s">
        <v>79</v>
      </c>
      <c r="B32" s="105"/>
      <c r="C32" s="83">
        <v>1111</v>
      </c>
      <c r="D32" s="40"/>
      <c r="E32" s="151" t="s">
        <v>7</v>
      </c>
      <c r="F32" s="192">
        <v>748000</v>
      </c>
      <c r="G32" s="193">
        <v>748000</v>
      </c>
      <c r="H32" s="192">
        <v>765383</v>
      </c>
      <c r="I32" s="42">
        <f t="shared" si="1"/>
        <v>102.32393048128343</v>
      </c>
      <c r="K32" s="225"/>
      <c r="L32" s="225"/>
      <c r="M32" s="225"/>
      <c r="N32" s="376"/>
    </row>
    <row r="33" spans="1:14" s="39" customFormat="1" ht="30" x14ac:dyDescent="0.2">
      <c r="A33" s="92" t="s">
        <v>79</v>
      </c>
      <c r="B33" s="105"/>
      <c r="C33" s="83">
        <v>1112</v>
      </c>
      <c r="D33" s="40"/>
      <c r="E33" s="151" t="s">
        <v>8</v>
      </c>
      <c r="F33" s="194">
        <v>10000</v>
      </c>
      <c r="G33" s="195">
        <v>10000</v>
      </c>
      <c r="H33" s="196">
        <v>7525</v>
      </c>
      <c r="I33" s="42">
        <f t="shared" si="1"/>
        <v>75.25</v>
      </c>
      <c r="K33" s="225"/>
      <c r="L33" s="225"/>
      <c r="M33" s="225"/>
      <c r="N33" s="376"/>
    </row>
    <row r="34" spans="1:14" s="37" customFormat="1" ht="15" x14ac:dyDescent="0.2">
      <c r="A34" s="91" t="s">
        <v>79</v>
      </c>
      <c r="B34" s="47"/>
      <c r="C34" s="84">
        <v>1113</v>
      </c>
      <c r="D34" s="41"/>
      <c r="E34" s="59" t="s">
        <v>9</v>
      </c>
      <c r="F34" s="192">
        <v>77000</v>
      </c>
      <c r="G34" s="193">
        <v>77000</v>
      </c>
      <c r="H34" s="192">
        <v>88443</v>
      </c>
      <c r="I34" s="42">
        <f t="shared" si="1"/>
        <v>114.86103896103896</v>
      </c>
      <c r="K34" s="154"/>
      <c r="L34" s="154"/>
      <c r="M34" s="154"/>
      <c r="N34" s="361"/>
    </row>
    <row r="35" spans="1:14" s="39" customFormat="1" ht="15" x14ac:dyDescent="0.25">
      <c r="A35" s="92" t="s">
        <v>79</v>
      </c>
      <c r="B35" s="105"/>
      <c r="C35" s="83">
        <v>1121</v>
      </c>
      <c r="D35" s="40"/>
      <c r="E35" s="151" t="s">
        <v>25</v>
      </c>
      <c r="F35" s="182">
        <v>735000</v>
      </c>
      <c r="G35" s="183">
        <v>735000</v>
      </c>
      <c r="H35" s="182">
        <v>839862</v>
      </c>
      <c r="I35" s="42">
        <f t="shared" si="1"/>
        <v>114.2669387755102</v>
      </c>
      <c r="K35" s="225"/>
      <c r="L35" s="225"/>
      <c r="M35" s="225"/>
      <c r="N35" s="376"/>
    </row>
    <row r="36" spans="1:14" s="37" customFormat="1" ht="15" customHeight="1" x14ac:dyDescent="0.25">
      <c r="A36" s="92" t="s">
        <v>79</v>
      </c>
      <c r="B36" s="47"/>
      <c r="C36" s="82">
        <v>1123</v>
      </c>
      <c r="D36" s="41"/>
      <c r="E36" s="63" t="s">
        <v>32</v>
      </c>
      <c r="F36" s="182"/>
      <c r="G36" s="183">
        <v>7449</v>
      </c>
      <c r="H36" s="182">
        <v>7449</v>
      </c>
      <c r="I36" s="42">
        <f t="shared" si="1"/>
        <v>100</v>
      </c>
      <c r="K36" s="154"/>
      <c r="L36" s="154"/>
      <c r="M36" s="154"/>
      <c r="N36" s="361"/>
    </row>
    <row r="37" spans="1:14" s="37" customFormat="1" ht="15" x14ac:dyDescent="0.25">
      <c r="A37" s="92" t="s">
        <v>79</v>
      </c>
      <c r="B37" s="47"/>
      <c r="C37" s="82">
        <v>1211</v>
      </c>
      <c r="D37" s="41"/>
      <c r="E37" s="59" t="s">
        <v>10</v>
      </c>
      <c r="F37" s="182">
        <v>1625000</v>
      </c>
      <c r="G37" s="183">
        <v>1625000</v>
      </c>
      <c r="H37" s="182">
        <v>1716869</v>
      </c>
      <c r="I37" s="42">
        <f t="shared" ref="I37:I39" si="2">(H37/G37)*100</f>
        <v>105.65347692307692</v>
      </c>
      <c r="K37" s="154"/>
      <c r="L37" s="154"/>
      <c r="M37" s="154"/>
      <c r="N37" s="361"/>
    </row>
    <row r="38" spans="1:14" s="37" customFormat="1" ht="15" x14ac:dyDescent="0.25">
      <c r="A38" s="92" t="s">
        <v>79</v>
      </c>
      <c r="B38" s="47"/>
      <c r="C38" s="82">
        <v>1361</v>
      </c>
      <c r="D38" s="41"/>
      <c r="E38" s="59" t="s">
        <v>1</v>
      </c>
      <c r="F38" s="182"/>
      <c r="G38" s="183"/>
      <c r="H38" s="182">
        <v>17</v>
      </c>
      <c r="I38" s="17">
        <v>0</v>
      </c>
      <c r="K38" s="154"/>
      <c r="L38" s="154"/>
      <c r="M38" s="154"/>
      <c r="N38" s="361"/>
    </row>
    <row r="39" spans="1:14" s="37" customFormat="1" ht="15" x14ac:dyDescent="0.25">
      <c r="A39" s="92" t="s">
        <v>79</v>
      </c>
      <c r="B39" s="47"/>
      <c r="C39" s="82">
        <v>2441</v>
      </c>
      <c r="D39" s="41"/>
      <c r="E39" s="59" t="s">
        <v>172</v>
      </c>
      <c r="F39" s="182">
        <v>9500</v>
      </c>
      <c r="G39" s="183">
        <v>9500</v>
      </c>
      <c r="H39" s="182">
        <v>13500</v>
      </c>
      <c r="I39" s="42">
        <f t="shared" si="2"/>
        <v>142.10526315789474</v>
      </c>
      <c r="K39" s="154"/>
      <c r="L39" s="154"/>
      <c r="M39" s="154"/>
      <c r="N39" s="361"/>
    </row>
    <row r="40" spans="1:14" s="37" customFormat="1" ht="15" x14ac:dyDescent="0.25">
      <c r="A40" s="92" t="s">
        <v>79</v>
      </c>
      <c r="B40" s="104"/>
      <c r="C40" s="82">
        <v>4111</v>
      </c>
      <c r="D40" s="80"/>
      <c r="E40" s="59" t="s">
        <v>42</v>
      </c>
      <c r="F40" s="177"/>
      <c r="G40" s="182">
        <f>G41+G45+G46+G47+G43+G48</f>
        <v>3220</v>
      </c>
      <c r="H40" s="182">
        <f>H41+H45+H46+H47+H43+H48</f>
        <v>3220</v>
      </c>
      <c r="I40" s="17">
        <f t="shared" ref="I40:I53" si="3">(H40/G40)*100</f>
        <v>100</v>
      </c>
      <c r="K40" s="154"/>
      <c r="L40" s="154"/>
      <c r="M40" s="154"/>
      <c r="N40" s="361"/>
    </row>
    <row r="41" spans="1:14" s="37" customFormat="1" ht="15" x14ac:dyDescent="0.25">
      <c r="A41" s="493" t="s">
        <v>79</v>
      </c>
      <c r="B41" s="358"/>
      <c r="C41" s="82"/>
      <c r="D41" s="501" t="s">
        <v>202</v>
      </c>
      <c r="E41" s="503" t="s">
        <v>277</v>
      </c>
      <c r="F41" s="377"/>
      <c r="G41" s="2">
        <v>15</v>
      </c>
      <c r="H41" s="76">
        <v>15</v>
      </c>
      <c r="I41" s="1">
        <f t="shared" si="3"/>
        <v>100</v>
      </c>
      <c r="K41" s="154"/>
      <c r="L41" s="154"/>
      <c r="M41" s="154"/>
      <c r="N41" s="361"/>
    </row>
    <row r="42" spans="1:14" s="37" customFormat="1" ht="15" x14ac:dyDescent="0.25">
      <c r="A42" s="494"/>
      <c r="B42" s="358"/>
      <c r="C42" s="82"/>
      <c r="D42" s="502"/>
      <c r="E42" s="504"/>
      <c r="F42" s="377"/>
      <c r="G42" s="2"/>
      <c r="H42" s="76"/>
      <c r="I42" s="1"/>
      <c r="K42" s="154"/>
      <c r="L42" s="154"/>
      <c r="M42" s="154"/>
      <c r="N42" s="361"/>
    </row>
    <row r="43" spans="1:14" s="37" customFormat="1" ht="15" x14ac:dyDescent="0.25">
      <c r="A43" s="493" t="s">
        <v>79</v>
      </c>
      <c r="B43" s="358"/>
      <c r="C43" s="82"/>
      <c r="D43" s="501" t="s">
        <v>203</v>
      </c>
      <c r="E43" s="503" t="s">
        <v>278</v>
      </c>
      <c r="F43" s="377"/>
      <c r="G43" s="2">
        <v>100</v>
      </c>
      <c r="H43" s="76">
        <v>100</v>
      </c>
      <c r="I43" s="1">
        <f t="shared" si="3"/>
        <v>100</v>
      </c>
      <c r="K43" s="154"/>
      <c r="L43" s="154"/>
      <c r="M43" s="154"/>
      <c r="N43" s="361"/>
    </row>
    <row r="44" spans="1:14" s="37" customFormat="1" ht="15" x14ac:dyDescent="0.25">
      <c r="A44" s="494"/>
      <c r="B44" s="358"/>
      <c r="C44" s="82"/>
      <c r="D44" s="502"/>
      <c r="E44" s="504"/>
      <c r="F44" s="377"/>
      <c r="G44" s="2"/>
      <c r="H44" s="76"/>
      <c r="I44" s="1"/>
      <c r="K44" s="154"/>
      <c r="L44" s="154"/>
      <c r="M44" s="154"/>
      <c r="N44" s="361"/>
    </row>
    <row r="45" spans="1:14" s="37" customFormat="1" ht="15" x14ac:dyDescent="0.25">
      <c r="A45" s="92" t="s">
        <v>79</v>
      </c>
      <c r="B45" s="358"/>
      <c r="C45" s="82"/>
      <c r="D45" s="65" t="s">
        <v>204</v>
      </c>
      <c r="E45" s="152" t="s">
        <v>128</v>
      </c>
      <c r="F45" s="377"/>
      <c r="G45" s="2">
        <v>573</v>
      </c>
      <c r="H45" s="76">
        <v>573</v>
      </c>
      <c r="I45" s="1">
        <f t="shared" si="3"/>
        <v>100</v>
      </c>
      <c r="K45" s="154"/>
      <c r="L45" s="154"/>
      <c r="M45" s="154"/>
      <c r="N45" s="361"/>
    </row>
    <row r="46" spans="1:14" s="37" customFormat="1" ht="15" x14ac:dyDescent="0.25">
      <c r="A46" s="92" t="s">
        <v>79</v>
      </c>
      <c r="B46" s="358"/>
      <c r="C46" s="82"/>
      <c r="D46" s="65" t="s">
        <v>205</v>
      </c>
      <c r="E46" s="153" t="s">
        <v>129</v>
      </c>
      <c r="F46" s="377"/>
      <c r="G46" s="2">
        <v>513</v>
      </c>
      <c r="H46" s="76">
        <v>513</v>
      </c>
      <c r="I46" s="1">
        <f t="shared" si="3"/>
        <v>100</v>
      </c>
      <c r="K46" s="154"/>
      <c r="L46" s="154"/>
      <c r="M46" s="154"/>
      <c r="N46" s="361"/>
    </row>
    <row r="47" spans="1:14" s="37" customFormat="1" ht="15" x14ac:dyDescent="0.25">
      <c r="A47" s="92" t="s">
        <v>79</v>
      </c>
      <c r="B47" s="358"/>
      <c r="C47" s="82"/>
      <c r="D47" s="65" t="s">
        <v>206</v>
      </c>
      <c r="E47" s="153" t="s">
        <v>110</v>
      </c>
      <c r="F47" s="377"/>
      <c r="G47" s="2">
        <v>1919</v>
      </c>
      <c r="H47" s="76">
        <v>1919</v>
      </c>
      <c r="I47" s="1">
        <f t="shared" si="3"/>
        <v>100</v>
      </c>
      <c r="K47" s="154"/>
      <c r="L47" s="154"/>
      <c r="M47" s="154"/>
      <c r="N47" s="361"/>
    </row>
    <row r="48" spans="1:14" s="37" customFormat="1" ht="15" x14ac:dyDescent="0.25">
      <c r="A48" s="493" t="s">
        <v>79</v>
      </c>
      <c r="B48" s="358"/>
      <c r="C48" s="82"/>
      <c r="D48" s="501" t="s">
        <v>207</v>
      </c>
      <c r="E48" s="505" t="s">
        <v>279</v>
      </c>
      <c r="F48" s="377"/>
      <c r="G48" s="2">
        <v>100</v>
      </c>
      <c r="H48" s="76">
        <v>100</v>
      </c>
      <c r="I48" s="1">
        <f t="shared" si="3"/>
        <v>100</v>
      </c>
      <c r="K48" s="154"/>
      <c r="L48" s="154"/>
      <c r="M48" s="154"/>
      <c r="N48" s="361"/>
    </row>
    <row r="49" spans="1:14" s="37" customFormat="1" ht="15" x14ac:dyDescent="0.25">
      <c r="A49" s="494"/>
      <c r="B49" s="358"/>
      <c r="C49" s="82"/>
      <c r="D49" s="502"/>
      <c r="E49" s="504"/>
      <c r="F49" s="377"/>
      <c r="G49" s="2"/>
      <c r="H49" s="76"/>
      <c r="I49" s="1"/>
      <c r="K49" s="154"/>
      <c r="L49" s="154"/>
      <c r="M49" s="154"/>
      <c r="N49" s="361"/>
    </row>
    <row r="50" spans="1:14" s="37" customFormat="1" ht="15" x14ac:dyDescent="0.25">
      <c r="A50" s="92" t="s">
        <v>79</v>
      </c>
      <c r="B50" s="104"/>
      <c r="C50" s="82">
        <v>4112</v>
      </c>
      <c r="D50" s="81"/>
      <c r="E50" s="60" t="s">
        <v>126</v>
      </c>
      <c r="F50" s="177">
        <v>73854</v>
      </c>
      <c r="G50" s="178">
        <v>73854</v>
      </c>
      <c r="H50" s="177">
        <v>73854</v>
      </c>
      <c r="I50" s="42">
        <f t="shared" si="3"/>
        <v>100</v>
      </c>
      <c r="K50" s="154"/>
      <c r="L50" s="154"/>
      <c r="M50" s="154"/>
      <c r="N50" s="361"/>
    </row>
    <row r="51" spans="1:14" s="37" customFormat="1" ht="15" x14ac:dyDescent="0.25">
      <c r="A51" s="92" t="s">
        <v>79</v>
      </c>
      <c r="B51" s="358"/>
      <c r="C51" s="82">
        <v>4116</v>
      </c>
      <c r="D51" s="41"/>
      <c r="E51" s="60" t="s">
        <v>280</v>
      </c>
      <c r="F51" s="177"/>
      <c r="G51" s="191">
        <f>G52+G53+G55+G57+G58+G59+G68+G69+G70+G71+G72+G73+G74+G75</f>
        <v>357177</v>
      </c>
      <c r="H51" s="191">
        <f>H52+H53+H55+H57+H58+H59+H68+H69+H70+H71+H72+H73+H74+H75</f>
        <v>357177</v>
      </c>
      <c r="I51" s="42">
        <f t="shared" si="3"/>
        <v>100</v>
      </c>
      <c r="K51" s="154"/>
      <c r="L51" s="154"/>
      <c r="M51" s="154"/>
      <c r="N51" s="361"/>
    </row>
    <row r="52" spans="1:14" s="37" customFormat="1" x14ac:dyDescent="0.2">
      <c r="A52" s="92" t="s">
        <v>79</v>
      </c>
      <c r="B52" s="358"/>
      <c r="C52" s="82"/>
      <c r="D52" s="65" t="s">
        <v>212</v>
      </c>
      <c r="E52" s="152" t="s">
        <v>111</v>
      </c>
      <c r="F52" s="170"/>
      <c r="G52" s="184">
        <v>450</v>
      </c>
      <c r="H52" s="180">
        <v>450</v>
      </c>
      <c r="I52" s="1">
        <f t="shared" si="3"/>
        <v>100</v>
      </c>
      <c r="K52" s="154"/>
      <c r="L52" s="154"/>
      <c r="M52" s="154"/>
      <c r="N52" s="361"/>
    </row>
    <row r="53" spans="1:14" s="37" customFormat="1" x14ac:dyDescent="0.2">
      <c r="A53" s="493" t="s">
        <v>79</v>
      </c>
      <c r="B53" s="358"/>
      <c r="C53" s="82"/>
      <c r="D53" s="501" t="s">
        <v>213</v>
      </c>
      <c r="E53" s="504" t="s">
        <v>173</v>
      </c>
      <c r="F53" s="170"/>
      <c r="G53" s="184">
        <v>106923</v>
      </c>
      <c r="H53" s="180">
        <v>106923</v>
      </c>
      <c r="I53" s="1">
        <f t="shared" si="3"/>
        <v>100</v>
      </c>
      <c r="K53" s="154"/>
      <c r="L53" s="154"/>
      <c r="M53" s="154"/>
      <c r="N53" s="361"/>
    </row>
    <row r="54" spans="1:14" s="37" customFormat="1" x14ac:dyDescent="0.2">
      <c r="A54" s="494"/>
      <c r="B54" s="358"/>
      <c r="C54" s="82"/>
      <c r="D54" s="501"/>
      <c r="E54" s="504"/>
      <c r="F54" s="170"/>
      <c r="G54" s="184"/>
      <c r="H54" s="180"/>
      <c r="I54" s="1"/>
      <c r="K54" s="154"/>
      <c r="L54" s="154"/>
      <c r="M54" s="154"/>
      <c r="N54" s="361"/>
    </row>
    <row r="55" spans="1:14" s="37" customFormat="1" ht="14.25" customHeight="1" x14ac:dyDescent="0.2">
      <c r="A55" s="493" t="s">
        <v>79</v>
      </c>
      <c r="B55" s="358"/>
      <c r="C55" s="82"/>
      <c r="D55" s="501" t="s">
        <v>214</v>
      </c>
      <c r="E55" s="504" t="s">
        <v>45</v>
      </c>
      <c r="F55" s="76"/>
      <c r="G55" s="76">
        <v>14500</v>
      </c>
      <c r="H55" s="57">
        <v>14500</v>
      </c>
      <c r="I55" s="1">
        <f t="shared" ref="I55:I59" si="4">(H55/G55)*100</f>
        <v>100</v>
      </c>
      <c r="K55" s="154"/>
      <c r="L55" s="154"/>
      <c r="M55" s="154"/>
      <c r="N55" s="361"/>
    </row>
    <row r="56" spans="1:14" s="37" customFormat="1" ht="15" customHeight="1" x14ac:dyDescent="0.25">
      <c r="A56" s="494"/>
      <c r="B56" s="358"/>
      <c r="C56" s="82"/>
      <c r="D56" s="501"/>
      <c r="E56" s="504"/>
      <c r="F56" s="3"/>
      <c r="G56" s="3"/>
      <c r="H56" s="57"/>
      <c r="I56" s="1"/>
      <c r="K56" s="465"/>
      <c r="L56" s="154"/>
      <c r="M56" s="154"/>
      <c r="N56" s="361"/>
    </row>
    <row r="57" spans="1:14" s="37" customFormat="1" x14ac:dyDescent="0.2">
      <c r="A57" s="92" t="s">
        <v>79</v>
      </c>
      <c r="B57" s="358"/>
      <c r="C57" s="82"/>
      <c r="D57" s="66" t="s">
        <v>215</v>
      </c>
      <c r="E57" s="279" t="s">
        <v>65</v>
      </c>
      <c r="F57" s="76"/>
      <c r="G57" s="76">
        <v>6929</v>
      </c>
      <c r="H57" s="57">
        <v>6929</v>
      </c>
      <c r="I57" s="1">
        <f t="shared" si="4"/>
        <v>100</v>
      </c>
      <c r="K57" s="154"/>
      <c r="L57" s="154"/>
      <c r="M57" s="154"/>
      <c r="N57" s="361"/>
    </row>
    <row r="58" spans="1:14" s="37" customFormat="1" ht="25.5" x14ac:dyDescent="0.2">
      <c r="A58" s="92" t="s">
        <v>79</v>
      </c>
      <c r="B58" s="358"/>
      <c r="C58" s="82"/>
      <c r="D58" s="356" t="s">
        <v>216</v>
      </c>
      <c r="E58" s="279" t="s">
        <v>281</v>
      </c>
      <c r="F58" s="76"/>
      <c r="G58" s="318">
        <v>295</v>
      </c>
      <c r="H58" s="58">
        <v>295</v>
      </c>
      <c r="I58" s="126">
        <f t="shared" si="4"/>
        <v>100</v>
      </c>
      <c r="K58" s="154"/>
      <c r="L58" s="154"/>
      <c r="M58" s="154"/>
      <c r="N58" s="361"/>
    </row>
    <row r="59" spans="1:14" s="37" customFormat="1" ht="15" customHeight="1" x14ac:dyDescent="0.2">
      <c r="A59" s="92" t="s">
        <v>79</v>
      </c>
      <c r="B59" s="358"/>
      <c r="C59" s="82"/>
      <c r="D59" s="501" t="s">
        <v>217</v>
      </c>
      <c r="E59" s="504" t="s">
        <v>112</v>
      </c>
      <c r="F59" s="76"/>
      <c r="G59" s="76">
        <v>215418</v>
      </c>
      <c r="H59" s="58">
        <v>215418</v>
      </c>
      <c r="I59" s="1">
        <f t="shared" si="4"/>
        <v>100</v>
      </c>
      <c r="K59" s="154"/>
      <c r="L59" s="154"/>
      <c r="M59" s="154"/>
      <c r="N59" s="361"/>
    </row>
    <row r="60" spans="1:14" s="37" customFormat="1" ht="15" thickBot="1" x14ac:dyDescent="0.25">
      <c r="A60" s="137"/>
      <c r="B60" s="111"/>
      <c r="C60" s="138"/>
      <c r="D60" s="509"/>
      <c r="E60" s="510"/>
      <c r="F60" s="288"/>
      <c r="G60" s="215"/>
      <c r="H60" s="139"/>
      <c r="I60" s="214"/>
      <c r="K60" s="296"/>
      <c r="L60" s="296"/>
      <c r="M60" s="296"/>
      <c r="N60" s="361"/>
    </row>
    <row r="61" spans="1:14" ht="13.5" customHeight="1" thickTop="1" x14ac:dyDescent="0.25">
      <c r="A61" s="95"/>
      <c r="C61" s="294"/>
      <c r="D61" s="266"/>
      <c r="F61" s="446">
        <f>F31+F28+F22+F12+F8</f>
        <v>19218</v>
      </c>
      <c r="G61" s="446">
        <f>G31+G28+G22+G12+G8</f>
        <v>20445</v>
      </c>
      <c r="H61" s="446">
        <f>H31+H28+H22+H12+H8</f>
        <v>10258</v>
      </c>
      <c r="I61" s="32"/>
      <c r="K61" s="136">
        <f>K8+K12+K22+K28+K31</f>
        <v>19218200</v>
      </c>
      <c r="L61" s="136">
        <f>L8+L12+L22+L28+L31</f>
        <v>20445076.850000001</v>
      </c>
      <c r="M61" s="136">
        <f>M8+M12+M22+M28+M31</f>
        <v>10258296.390000001</v>
      </c>
    </row>
    <row r="62" spans="1:14" ht="13.5" customHeight="1" x14ac:dyDescent="0.2">
      <c r="A62" s="95"/>
      <c r="G62" s="30"/>
      <c r="I62" s="32"/>
    </row>
    <row r="63" spans="1:14" ht="13.5" customHeight="1" x14ac:dyDescent="0.2">
      <c r="A63" s="95"/>
      <c r="G63" s="30"/>
      <c r="I63" s="32"/>
    </row>
    <row r="64" spans="1:14" ht="13.5" customHeight="1" x14ac:dyDescent="0.2">
      <c r="A64" s="95"/>
      <c r="G64" s="30"/>
      <c r="I64" s="32"/>
    </row>
    <row r="65" spans="1:14" ht="13.5" customHeight="1" thickBot="1" x14ac:dyDescent="0.25">
      <c r="A65" s="95"/>
      <c r="G65" s="30"/>
      <c r="I65" s="32" t="s">
        <v>0</v>
      </c>
    </row>
    <row r="66" spans="1:14" s="37" customFormat="1" ht="20.25" customHeight="1" thickTop="1" thickBot="1" x14ac:dyDescent="0.25">
      <c r="A66" s="74" t="s">
        <v>73</v>
      </c>
      <c r="B66" s="72" t="s">
        <v>13</v>
      </c>
      <c r="C66" s="33" t="s">
        <v>2</v>
      </c>
      <c r="D66" s="450" t="s">
        <v>326</v>
      </c>
      <c r="E66" s="34" t="s">
        <v>3</v>
      </c>
      <c r="F66" s="35" t="s">
        <v>4</v>
      </c>
      <c r="G66" s="35" t="s">
        <v>5</v>
      </c>
      <c r="H66" s="35" t="s">
        <v>18</v>
      </c>
      <c r="I66" s="36" t="s">
        <v>19</v>
      </c>
      <c r="K66" s="154"/>
      <c r="L66" s="154"/>
      <c r="M66" s="154"/>
      <c r="N66" s="361"/>
    </row>
    <row r="67" spans="1:14" s="38" customFormat="1" ht="12.75" thickTop="1" x14ac:dyDescent="0.2">
      <c r="A67" s="90">
        <v>1</v>
      </c>
      <c r="B67" s="85">
        <v>2</v>
      </c>
      <c r="C67" s="86">
        <v>3</v>
      </c>
      <c r="D67" s="85">
        <v>4</v>
      </c>
      <c r="E67" s="86">
        <v>5</v>
      </c>
      <c r="F67" s="85">
        <v>6</v>
      </c>
      <c r="G67" s="87">
        <v>7</v>
      </c>
      <c r="H67" s="88">
        <v>8</v>
      </c>
      <c r="I67" s="89" t="s">
        <v>74</v>
      </c>
      <c r="J67" s="37"/>
      <c r="K67" s="213"/>
      <c r="L67" s="213"/>
      <c r="M67" s="213"/>
      <c r="N67" s="362"/>
    </row>
    <row r="68" spans="1:14" s="38" customFormat="1" x14ac:dyDescent="0.2">
      <c r="A68" s="103" t="s">
        <v>79</v>
      </c>
      <c r="B68" s="79"/>
      <c r="C68" s="167"/>
      <c r="D68" s="147" t="s">
        <v>218</v>
      </c>
      <c r="E68" s="152" t="s">
        <v>174</v>
      </c>
      <c r="F68" s="79"/>
      <c r="G68" s="56">
        <v>1824</v>
      </c>
      <c r="H68" s="57">
        <v>1824</v>
      </c>
      <c r="I68" s="1">
        <f t="shared" ref="I68:I70" si="5">(H68/G68)*100</f>
        <v>100</v>
      </c>
      <c r="J68" s="37"/>
      <c r="K68" s="213"/>
      <c r="L68" s="213"/>
      <c r="M68" s="213"/>
      <c r="N68" s="362"/>
    </row>
    <row r="69" spans="1:14" s="38" customFormat="1" x14ac:dyDescent="0.2">
      <c r="A69" s="103" t="s">
        <v>79</v>
      </c>
      <c r="B69" s="79"/>
      <c r="C69" s="167"/>
      <c r="D69" s="147" t="s">
        <v>219</v>
      </c>
      <c r="E69" s="152" t="s">
        <v>282</v>
      </c>
      <c r="F69" s="79"/>
      <c r="G69" s="56">
        <v>235</v>
      </c>
      <c r="H69" s="57">
        <v>235</v>
      </c>
      <c r="I69" s="1">
        <f t="shared" si="5"/>
        <v>100</v>
      </c>
      <c r="J69" s="37"/>
      <c r="K69" s="213"/>
      <c r="L69" s="213"/>
      <c r="M69" s="213"/>
      <c r="N69" s="362"/>
    </row>
    <row r="70" spans="1:14" s="38" customFormat="1" x14ac:dyDescent="0.2">
      <c r="A70" s="103" t="s">
        <v>79</v>
      </c>
      <c r="B70" s="79"/>
      <c r="C70" s="167"/>
      <c r="D70" s="147" t="s">
        <v>220</v>
      </c>
      <c r="E70" s="152" t="s">
        <v>283</v>
      </c>
      <c r="F70" s="79"/>
      <c r="G70" s="56">
        <v>69</v>
      </c>
      <c r="H70" s="57">
        <v>69</v>
      </c>
      <c r="I70" s="1">
        <f t="shared" si="5"/>
        <v>100</v>
      </c>
      <c r="J70" s="37"/>
      <c r="K70" s="213"/>
      <c r="L70" s="213"/>
      <c r="M70" s="213"/>
      <c r="N70" s="362"/>
    </row>
    <row r="71" spans="1:14" s="37" customFormat="1" x14ac:dyDescent="0.2">
      <c r="A71" s="92" t="s">
        <v>79</v>
      </c>
      <c r="B71" s="358"/>
      <c r="C71" s="82"/>
      <c r="D71" s="147" t="s">
        <v>221</v>
      </c>
      <c r="E71" s="152" t="s">
        <v>113</v>
      </c>
      <c r="F71" s="76"/>
      <c r="G71" s="56">
        <v>279</v>
      </c>
      <c r="H71" s="57">
        <v>279</v>
      </c>
      <c r="I71" s="1">
        <f t="shared" ref="I71:I75" si="6">(H71/G71)*100</f>
        <v>100</v>
      </c>
      <c r="K71" s="154"/>
      <c r="L71" s="154"/>
      <c r="M71" s="154"/>
      <c r="N71" s="361"/>
    </row>
    <row r="72" spans="1:14" s="37" customFormat="1" x14ac:dyDescent="0.2">
      <c r="A72" s="92" t="s">
        <v>79</v>
      </c>
      <c r="B72" s="358"/>
      <c r="C72" s="82"/>
      <c r="D72" s="147" t="s">
        <v>222</v>
      </c>
      <c r="E72" s="279" t="s">
        <v>284</v>
      </c>
      <c r="F72" s="76"/>
      <c r="G72" s="56">
        <v>36</v>
      </c>
      <c r="H72" s="57">
        <v>36</v>
      </c>
      <c r="I72" s="1">
        <f t="shared" si="6"/>
        <v>100</v>
      </c>
      <c r="K72" s="154"/>
      <c r="L72" s="154"/>
      <c r="M72" s="154"/>
      <c r="N72" s="361"/>
    </row>
    <row r="73" spans="1:14" s="37" customFormat="1" ht="25.5" x14ac:dyDescent="0.2">
      <c r="A73" s="92" t="s">
        <v>79</v>
      </c>
      <c r="B73" s="358"/>
      <c r="C73" s="82"/>
      <c r="D73" s="147" t="s">
        <v>223</v>
      </c>
      <c r="E73" s="279" t="s">
        <v>175</v>
      </c>
      <c r="F73" s="76"/>
      <c r="G73" s="76">
        <v>6364</v>
      </c>
      <c r="H73" s="57">
        <v>6364</v>
      </c>
      <c r="I73" s="1">
        <f t="shared" si="6"/>
        <v>100</v>
      </c>
      <c r="K73" s="154"/>
      <c r="L73" s="154"/>
      <c r="M73" s="154"/>
      <c r="N73" s="361"/>
    </row>
    <row r="74" spans="1:14" s="37" customFormat="1" x14ac:dyDescent="0.2">
      <c r="A74" s="92" t="s">
        <v>79</v>
      </c>
      <c r="B74" s="358"/>
      <c r="C74" s="82"/>
      <c r="D74" s="147" t="s">
        <v>224</v>
      </c>
      <c r="E74" s="279" t="s">
        <v>130</v>
      </c>
      <c r="F74" s="76"/>
      <c r="G74" s="76">
        <v>578</v>
      </c>
      <c r="H74" s="186">
        <v>578</v>
      </c>
      <c r="I74" s="1">
        <f t="shared" si="6"/>
        <v>100</v>
      </c>
      <c r="K74" s="154"/>
      <c r="L74" s="154"/>
      <c r="M74" s="154"/>
      <c r="N74" s="361"/>
    </row>
    <row r="75" spans="1:14" s="37" customFormat="1" x14ac:dyDescent="0.2">
      <c r="A75" s="92" t="s">
        <v>79</v>
      </c>
      <c r="B75" s="358"/>
      <c r="C75" s="82"/>
      <c r="D75" s="147" t="s">
        <v>225</v>
      </c>
      <c r="E75" s="279" t="s">
        <v>131</v>
      </c>
      <c r="F75" s="76"/>
      <c r="G75" s="76">
        <v>3277</v>
      </c>
      <c r="H75" s="186">
        <v>3277</v>
      </c>
      <c r="I75" s="1">
        <f t="shared" si="6"/>
        <v>100</v>
      </c>
      <c r="K75" s="154"/>
      <c r="L75" s="154"/>
      <c r="M75" s="154"/>
      <c r="N75" s="361"/>
    </row>
    <row r="76" spans="1:14" ht="15" customHeight="1" x14ac:dyDescent="0.25">
      <c r="A76" s="92" t="s">
        <v>79</v>
      </c>
      <c r="B76" s="378"/>
      <c r="C76" s="82">
        <v>4132</v>
      </c>
      <c r="D76" s="41"/>
      <c r="E76" s="63" t="s">
        <v>29</v>
      </c>
      <c r="F76" s="177"/>
      <c r="G76" s="179">
        <v>879</v>
      </c>
      <c r="H76" s="191"/>
      <c r="I76" s="17">
        <f t="shared" ref="I76" si="7">(H76/G76)*100</f>
        <v>0</v>
      </c>
      <c r="L76" s="226"/>
    </row>
    <row r="77" spans="1:14" s="311" customFormat="1" ht="15" x14ac:dyDescent="0.25">
      <c r="A77" s="92" t="s">
        <v>79</v>
      </c>
      <c r="B77" s="105"/>
      <c r="C77" s="82">
        <v>4134</v>
      </c>
      <c r="D77" s="41"/>
      <c r="E77" s="59" t="s">
        <v>20</v>
      </c>
      <c r="F77" s="177"/>
      <c r="G77" s="178"/>
      <c r="H77" s="191">
        <v>735908</v>
      </c>
      <c r="I77" s="75">
        <v>0</v>
      </c>
      <c r="K77" s="379"/>
      <c r="L77" s="154"/>
      <c r="M77" s="154"/>
      <c r="N77" s="361"/>
    </row>
    <row r="78" spans="1:14" ht="15" x14ac:dyDescent="0.25">
      <c r="A78" s="92" t="s">
        <v>79</v>
      </c>
      <c r="B78" s="378"/>
      <c r="C78" s="82">
        <v>4211</v>
      </c>
      <c r="D78" s="65"/>
      <c r="E78" s="53" t="s">
        <v>116</v>
      </c>
      <c r="F78" s="177"/>
      <c r="G78" s="177">
        <v>710</v>
      </c>
      <c r="H78" s="177">
        <v>710</v>
      </c>
      <c r="I78" s="17">
        <f t="shared" ref="I78:I83" si="8">(H78/G78)*100</f>
        <v>100</v>
      </c>
    </row>
    <row r="79" spans="1:14" ht="15" x14ac:dyDescent="0.25">
      <c r="A79" s="92" t="s">
        <v>79</v>
      </c>
      <c r="B79" s="378"/>
      <c r="C79" s="82"/>
      <c r="D79" s="65" t="s">
        <v>226</v>
      </c>
      <c r="E79" s="152" t="s">
        <v>117</v>
      </c>
      <c r="F79" s="177"/>
      <c r="G79" s="185">
        <v>710</v>
      </c>
      <c r="H79" s="186">
        <v>710</v>
      </c>
      <c r="I79" s="1">
        <f t="shared" si="8"/>
        <v>100</v>
      </c>
    </row>
    <row r="80" spans="1:14" ht="15" x14ac:dyDescent="0.25">
      <c r="A80" s="92" t="s">
        <v>79</v>
      </c>
      <c r="B80" s="378"/>
      <c r="C80" s="108">
        <v>4216</v>
      </c>
      <c r="D80" s="65"/>
      <c r="E80" s="54" t="s">
        <v>105</v>
      </c>
      <c r="F80" s="180"/>
      <c r="G80" s="188">
        <v>11596</v>
      </c>
      <c r="H80" s="188">
        <v>11596</v>
      </c>
      <c r="I80" s="17">
        <f t="shared" si="8"/>
        <v>100</v>
      </c>
    </row>
    <row r="81" spans="1:15" x14ac:dyDescent="0.2">
      <c r="A81" s="92" t="s">
        <v>79</v>
      </c>
      <c r="B81" s="378"/>
      <c r="C81" s="108"/>
      <c r="D81" s="65" t="s">
        <v>227</v>
      </c>
      <c r="E81" s="152" t="s">
        <v>71</v>
      </c>
      <c r="F81" s="180"/>
      <c r="G81" s="190">
        <v>11596</v>
      </c>
      <c r="H81" s="189">
        <v>11596</v>
      </c>
      <c r="I81" s="1">
        <f t="shared" si="8"/>
        <v>100</v>
      </c>
    </row>
    <row r="82" spans="1:15" ht="15" x14ac:dyDescent="0.25">
      <c r="A82" s="92" t="s">
        <v>79</v>
      </c>
      <c r="B82" s="378"/>
      <c r="C82" s="108">
        <v>4223</v>
      </c>
      <c r="D82" s="65"/>
      <c r="E82" s="53" t="s">
        <v>72</v>
      </c>
      <c r="F82" s="180"/>
      <c r="G82" s="231">
        <v>166060</v>
      </c>
      <c r="H82" s="280">
        <v>166060</v>
      </c>
      <c r="I82" s="17">
        <f t="shared" si="8"/>
        <v>100</v>
      </c>
    </row>
    <row r="83" spans="1:15" x14ac:dyDescent="0.2">
      <c r="A83" s="92" t="s">
        <v>79</v>
      </c>
      <c r="B83" s="378"/>
      <c r="C83" s="108"/>
      <c r="D83" s="65" t="s">
        <v>208</v>
      </c>
      <c r="E83" s="319" t="s">
        <v>285</v>
      </c>
      <c r="F83" s="180"/>
      <c r="G83" s="190">
        <v>166060</v>
      </c>
      <c r="H83" s="189">
        <v>166060</v>
      </c>
      <c r="I83" s="1">
        <f t="shared" si="8"/>
        <v>100</v>
      </c>
    </row>
    <row r="84" spans="1:15" s="37" customFormat="1" ht="15" x14ac:dyDescent="0.25">
      <c r="A84" s="92" t="s">
        <v>79</v>
      </c>
      <c r="B84" s="104">
        <v>6172</v>
      </c>
      <c r="C84" s="82">
        <v>2122</v>
      </c>
      <c r="D84" s="41"/>
      <c r="E84" s="60" t="s">
        <v>17</v>
      </c>
      <c r="F84" s="177">
        <v>195569</v>
      </c>
      <c r="G84" s="177">
        <v>156276</v>
      </c>
      <c r="H84" s="177">
        <v>156276</v>
      </c>
      <c r="I84" s="17">
        <f>(H84/G84)*100</f>
        <v>100</v>
      </c>
      <c r="K84" s="154"/>
      <c r="L84" s="154"/>
      <c r="M84" s="154"/>
      <c r="N84" s="361"/>
    </row>
    <row r="85" spans="1:15" s="37" customFormat="1" ht="15" x14ac:dyDescent="0.25">
      <c r="A85" s="92" t="s">
        <v>79</v>
      </c>
      <c r="B85" s="104">
        <v>6172</v>
      </c>
      <c r="C85" s="82">
        <v>2123</v>
      </c>
      <c r="D85" s="41"/>
      <c r="E85" s="60" t="s">
        <v>209</v>
      </c>
      <c r="F85" s="177"/>
      <c r="G85" s="178"/>
      <c r="H85" s="177">
        <v>3</v>
      </c>
      <c r="I85" s="17">
        <v>0</v>
      </c>
      <c r="K85" s="154"/>
      <c r="L85" s="154"/>
      <c r="M85" s="154"/>
      <c r="N85" s="361"/>
    </row>
    <row r="86" spans="1:15" s="37" customFormat="1" ht="15" x14ac:dyDescent="0.25">
      <c r="A86" s="92" t="s">
        <v>79</v>
      </c>
      <c r="B86" s="104">
        <v>6172</v>
      </c>
      <c r="C86" s="82">
        <v>2143</v>
      </c>
      <c r="D86" s="66"/>
      <c r="E86" s="124" t="s">
        <v>210</v>
      </c>
      <c r="F86" s="177"/>
      <c r="G86" s="184"/>
      <c r="H86" s="182">
        <v>5</v>
      </c>
      <c r="I86" s="17">
        <v>0</v>
      </c>
      <c r="L86" s="154"/>
      <c r="M86" s="154"/>
      <c r="N86" s="361"/>
    </row>
    <row r="87" spans="1:15" s="37" customFormat="1" ht="15" x14ac:dyDescent="0.25">
      <c r="A87" s="92" t="s">
        <v>79</v>
      </c>
      <c r="B87" s="104">
        <v>6172</v>
      </c>
      <c r="C87" s="82">
        <v>2212</v>
      </c>
      <c r="D87" s="41"/>
      <c r="E87" s="54" t="s">
        <v>109</v>
      </c>
      <c r="F87" s="177"/>
      <c r="G87" s="178">
        <v>15</v>
      </c>
      <c r="H87" s="182">
        <v>381</v>
      </c>
      <c r="I87" s="17">
        <f>(H87/G87)*100</f>
        <v>2540</v>
      </c>
      <c r="L87" s="154"/>
      <c r="M87" s="154"/>
      <c r="N87" s="361"/>
    </row>
    <row r="88" spans="1:15" s="37" customFormat="1" ht="15" x14ac:dyDescent="0.25">
      <c r="A88" s="92" t="s">
        <v>79</v>
      </c>
      <c r="B88" s="104">
        <v>6172</v>
      </c>
      <c r="C88" s="82">
        <v>2322</v>
      </c>
      <c r="D88" s="41"/>
      <c r="E88" s="60" t="s">
        <v>12</v>
      </c>
      <c r="F88" s="177"/>
      <c r="G88" s="179">
        <v>3708</v>
      </c>
      <c r="H88" s="177">
        <v>3768</v>
      </c>
      <c r="I88" s="17">
        <f>(H88/G88)*100</f>
        <v>101.61812297734627</v>
      </c>
      <c r="K88" s="154"/>
      <c r="L88" s="154"/>
      <c r="M88" s="154"/>
      <c r="N88" s="361"/>
    </row>
    <row r="89" spans="1:15" s="37" customFormat="1" ht="15" x14ac:dyDescent="0.25">
      <c r="A89" s="92" t="s">
        <v>79</v>
      </c>
      <c r="B89" s="104">
        <v>6172</v>
      </c>
      <c r="C89" s="82">
        <v>2324</v>
      </c>
      <c r="D89" s="41"/>
      <c r="E89" s="60" t="s">
        <v>22</v>
      </c>
      <c r="F89" s="177"/>
      <c r="G89" s="179">
        <v>2114</v>
      </c>
      <c r="H89" s="177">
        <v>2181</v>
      </c>
      <c r="I89" s="17">
        <f>(H89/G89)*100</f>
        <v>103.1693472090823</v>
      </c>
      <c r="K89" s="154"/>
      <c r="L89" s="154"/>
      <c r="M89" s="380">
        <v>12068285894.33</v>
      </c>
      <c r="N89" s="381" t="s">
        <v>192</v>
      </c>
      <c r="O89" s="382"/>
    </row>
    <row r="90" spans="1:15" s="37" customFormat="1" ht="15" x14ac:dyDescent="0.25">
      <c r="A90" s="92" t="s">
        <v>79</v>
      </c>
      <c r="B90" s="104">
        <v>6310</v>
      </c>
      <c r="C90" s="82">
        <v>2141</v>
      </c>
      <c r="D90" s="41"/>
      <c r="E90" s="55" t="s">
        <v>11</v>
      </c>
      <c r="F90" s="177">
        <v>4001</v>
      </c>
      <c r="G90" s="179">
        <v>4001</v>
      </c>
      <c r="H90" s="177">
        <v>810</v>
      </c>
      <c r="I90" s="17">
        <f>(H90/G90)*100</f>
        <v>20.244938765308675</v>
      </c>
      <c r="K90" s="154"/>
      <c r="L90" s="154"/>
      <c r="M90" s="380"/>
      <c r="N90" s="381"/>
      <c r="O90" s="382"/>
    </row>
    <row r="91" spans="1:15" s="37" customFormat="1" ht="15" x14ac:dyDescent="0.25">
      <c r="A91" s="92" t="s">
        <v>79</v>
      </c>
      <c r="B91" s="104">
        <v>6310</v>
      </c>
      <c r="C91" s="82">
        <v>2324</v>
      </c>
      <c r="D91" s="41"/>
      <c r="E91" s="60" t="s">
        <v>22</v>
      </c>
      <c r="F91" s="177"/>
      <c r="G91" s="179"/>
      <c r="H91" s="177">
        <v>21</v>
      </c>
      <c r="I91" s="17">
        <v>0</v>
      </c>
      <c r="K91" s="154"/>
      <c r="L91" s="154"/>
      <c r="M91" s="380">
        <v>7850343341.3199997</v>
      </c>
      <c r="N91" s="381" t="s">
        <v>193</v>
      </c>
      <c r="O91" s="382"/>
    </row>
    <row r="92" spans="1:15" s="37" customFormat="1" ht="15" x14ac:dyDescent="0.25">
      <c r="A92" s="493" t="s">
        <v>79</v>
      </c>
      <c r="B92" s="495">
        <v>6402</v>
      </c>
      <c r="C92" s="495">
        <v>2222</v>
      </c>
      <c r="D92" s="41"/>
      <c r="E92" s="497" t="s">
        <v>211</v>
      </c>
      <c r="F92" s="177"/>
      <c r="G92" s="514">
        <v>62</v>
      </c>
      <c r="H92" s="506">
        <v>62</v>
      </c>
      <c r="I92" s="507">
        <f>(H92/G92)*100</f>
        <v>100</v>
      </c>
      <c r="K92" s="154"/>
      <c r="L92" s="154"/>
      <c r="M92" s="380"/>
      <c r="N92" s="381"/>
      <c r="O92" s="382"/>
    </row>
    <row r="93" spans="1:15" s="37" customFormat="1" ht="15" x14ac:dyDescent="0.25">
      <c r="A93" s="494"/>
      <c r="B93" s="496"/>
      <c r="C93" s="496"/>
      <c r="D93" s="41"/>
      <c r="E93" s="498"/>
      <c r="F93" s="177"/>
      <c r="G93" s="515"/>
      <c r="H93" s="500"/>
      <c r="I93" s="508"/>
      <c r="K93" s="154"/>
      <c r="L93" s="154"/>
      <c r="M93" s="380"/>
      <c r="N93" s="381"/>
      <c r="O93" s="382"/>
    </row>
    <row r="94" spans="1:15" s="37" customFormat="1" ht="15" x14ac:dyDescent="0.25">
      <c r="A94" s="92" t="s">
        <v>79</v>
      </c>
      <c r="B94" s="104">
        <v>6402</v>
      </c>
      <c r="C94" s="82">
        <v>2223</v>
      </c>
      <c r="D94" s="41"/>
      <c r="E94" s="59" t="s">
        <v>39</v>
      </c>
      <c r="F94" s="177"/>
      <c r="G94" s="179">
        <v>103</v>
      </c>
      <c r="H94" s="177">
        <v>103</v>
      </c>
      <c r="I94" s="17">
        <f>(H94/G94)*100</f>
        <v>100</v>
      </c>
      <c r="K94" s="154"/>
      <c r="L94" s="154"/>
      <c r="M94" s="380"/>
      <c r="N94" s="381"/>
      <c r="O94" s="382"/>
    </row>
    <row r="95" spans="1:15" s="37" customFormat="1" ht="15" x14ac:dyDescent="0.25">
      <c r="A95" s="92" t="s">
        <v>79</v>
      </c>
      <c r="B95" s="104">
        <v>6402</v>
      </c>
      <c r="C95" s="82">
        <v>2227</v>
      </c>
      <c r="D95" s="41"/>
      <c r="E95" s="497" t="s">
        <v>132</v>
      </c>
      <c r="F95" s="177"/>
      <c r="G95" s="179">
        <v>69</v>
      </c>
      <c r="H95" s="177">
        <v>69</v>
      </c>
      <c r="I95" s="17">
        <f>(H95/G95)*100</f>
        <v>100</v>
      </c>
      <c r="K95" s="154"/>
      <c r="L95" s="154"/>
      <c r="M95" s="380"/>
      <c r="N95" s="383"/>
      <c r="O95" s="382"/>
    </row>
    <row r="96" spans="1:15" s="37" customFormat="1" ht="15" x14ac:dyDescent="0.25">
      <c r="A96" s="92"/>
      <c r="B96" s="104"/>
      <c r="C96" s="82"/>
      <c r="D96" s="41"/>
      <c r="E96" s="498"/>
      <c r="F96" s="177"/>
      <c r="G96" s="179"/>
      <c r="H96" s="182"/>
      <c r="I96" s="17"/>
      <c r="K96" s="154"/>
      <c r="L96" s="154"/>
      <c r="M96" s="380">
        <v>735908154.72000003</v>
      </c>
      <c r="N96" s="383" t="s">
        <v>286</v>
      </c>
      <c r="O96" s="382"/>
    </row>
    <row r="97" spans="1:15" s="37" customFormat="1" ht="15" x14ac:dyDescent="0.25">
      <c r="A97" s="92" t="s">
        <v>79</v>
      </c>
      <c r="B97" s="104">
        <v>6402</v>
      </c>
      <c r="C97" s="82">
        <v>2229</v>
      </c>
      <c r="D97" s="41"/>
      <c r="E97" s="320" t="s">
        <v>33</v>
      </c>
      <c r="F97" s="177"/>
      <c r="G97" s="179"/>
      <c r="H97" s="182">
        <v>2671</v>
      </c>
      <c r="I97" s="17">
        <v>0</v>
      </c>
      <c r="K97" s="154"/>
      <c r="L97" s="154"/>
      <c r="M97" s="380"/>
      <c r="N97" s="383"/>
      <c r="O97" s="382"/>
    </row>
    <row r="98" spans="1:15" s="37" customFormat="1" ht="15" x14ac:dyDescent="0.25">
      <c r="A98" s="92" t="s">
        <v>79</v>
      </c>
      <c r="B98" s="104">
        <v>6402</v>
      </c>
      <c r="C98" s="82">
        <v>2328</v>
      </c>
      <c r="D98" s="41"/>
      <c r="E98" s="60" t="s">
        <v>14</v>
      </c>
      <c r="F98" s="177"/>
      <c r="G98" s="179"/>
      <c r="H98" s="182">
        <v>-22</v>
      </c>
      <c r="I98" s="17">
        <v>0</v>
      </c>
      <c r="K98" s="154"/>
      <c r="L98" s="154"/>
      <c r="M98" s="380"/>
      <c r="N98" s="383"/>
      <c r="O98" s="382"/>
    </row>
    <row r="99" spans="1:15" s="37" customFormat="1" ht="15" x14ac:dyDescent="0.25">
      <c r="A99" s="92" t="s">
        <v>79</v>
      </c>
      <c r="B99" s="104">
        <v>6409</v>
      </c>
      <c r="C99" s="82">
        <v>2328</v>
      </c>
      <c r="D99" s="41"/>
      <c r="E99" s="60" t="s">
        <v>14</v>
      </c>
      <c r="F99" s="177"/>
      <c r="G99" s="178"/>
      <c r="H99" s="177">
        <v>-50</v>
      </c>
      <c r="I99" s="75">
        <v>0</v>
      </c>
      <c r="J99" s="154"/>
      <c r="L99" s="154"/>
      <c r="M99" s="379"/>
      <c r="N99" s="154"/>
    </row>
    <row r="100" spans="1:15" s="115" customFormat="1" x14ac:dyDescent="0.2">
      <c r="A100" s="486" t="s">
        <v>79</v>
      </c>
      <c r="B100" s="487"/>
      <c r="C100" s="488"/>
      <c r="D100" s="489"/>
      <c r="E100" s="490" t="s">
        <v>104</v>
      </c>
      <c r="F100" s="484">
        <f>F32+F33+F34+F35+F37+F39+F50+F84+F90</f>
        <v>3477924</v>
      </c>
      <c r="G100" s="484">
        <f>G32+G33+G34+G35+G36+G37+G39+G40+G50+G51+G76+G78+G80+G82+G84+G87+G88+G89+G90+G92+G94+G95</f>
        <v>3991793</v>
      </c>
      <c r="H100" s="484">
        <f>H32+H33+H34+H35+H36+H37+H38+H39+H40+H50+H51+H77+H78+H80+H82+H84+H85+H86+H87+H88+H89+H90+H91+H92+H94+H95+H97+H98+H99</f>
        <v>4953851</v>
      </c>
      <c r="I100" s="485">
        <f>(H100/G100)*100</f>
        <v>124.10089901956339</v>
      </c>
      <c r="J100" s="454"/>
      <c r="K100" s="455">
        <v>3477923800</v>
      </c>
      <c r="L100" s="455">
        <v>3991793202.3000002</v>
      </c>
      <c r="M100" s="321">
        <f>M89-M91+M96</f>
        <v>4953850707.7300005</v>
      </c>
      <c r="N100" s="385"/>
    </row>
    <row r="101" spans="1:15" s="158" customFormat="1" ht="15" x14ac:dyDescent="0.25">
      <c r="A101" s="91" t="s">
        <v>80</v>
      </c>
      <c r="B101" s="104"/>
      <c r="C101" s="82">
        <v>4152</v>
      </c>
      <c r="D101" s="41"/>
      <c r="E101" s="60" t="s">
        <v>176</v>
      </c>
      <c r="F101" s="177"/>
      <c r="G101" s="179">
        <v>167</v>
      </c>
      <c r="H101" s="177">
        <v>167</v>
      </c>
      <c r="I101" s="17">
        <v>0</v>
      </c>
      <c r="K101" s="227"/>
      <c r="L101" s="227"/>
      <c r="M101" s="227"/>
      <c r="N101" s="386"/>
    </row>
    <row r="102" spans="1:15" s="37" customFormat="1" ht="15" x14ac:dyDescent="0.25">
      <c r="A102" s="91" t="s">
        <v>80</v>
      </c>
      <c r="B102" s="104">
        <v>6172</v>
      </c>
      <c r="C102" s="82">
        <v>2324</v>
      </c>
      <c r="D102" s="41"/>
      <c r="E102" s="60" t="s">
        <v>22</v>
      </c>
      <c r="F102" s="177"/>
      <c r="G102" s="179"/>
      <c r="H102" s="177">
        <v>1</v>
      </c>
      <c r="I102" s="17">
        <v>0</v>
      </c>
      <c r="K102" s="216"/>
      <c r="L102" s="216"/>
      <c r="M102" s="216"/>
      <c r="N102" s="361"/>
    </row>
    <row r="103" spans="1:15" s="37" customFormat="1" ht="15" x14ac:dyDescent="0.25">
      <c r="A103" s="91" t="s">
        <v>80</v>
      </c>
      <c r="B103" s="104">
        <v>6402</v>
      </c>
      <c r="C103" s="82">
        <v>2223</v>
      </c>
      <c r="D103" s="41"/>
      <c r="E103" s="59" t="s">
        <v>39</v>
      </c>
      <c r="F103" s="177"/>
      <c r="G103" s="179">
        <v>27</v>
      </c>
      <c r="H103" s="177">
        <v>27</v>
      </c>
      <c r="I103" s="17">
        <f t="shared" ref="I103:I109" si="9">(H103/G103)*100</f>
        <v>100</v>
      </c>
      <c r="K103" s="216"/>
      <c r="L103" s="216"/>
      <c r="M103" s="216"/>
      <c r="N103" s="361"/>
    </row>
    <row r="104" spans="1:15" s="37" customFormat="1" ht="15" x14ac:dyDescent="0.25">
      <c r="A104" s="91" t="s">
        <v>80</v>
      </c>
      <c r="B104" s="104">
        <v>6402</v>
      </c>
      <c r="C104" s="82">
        <v>2229</v>
      </c>
      <c r="D104" s="41"/>
      <c r="E104" s="54" t="s">
        <v>33</v>
      </c>
      <c r="F104" s="177"/>
      <c r="G104" s="179">
        <v>524</v>
      </c>
      <c r="H104" s="177">
        <v>524</v>
      </c>
      <c r="I104" s="17">
        <f t="shared" si="9"/>
        <v>100</v>
      </c>
      <c r="K104" s="154"/>
      <c r="L104" s="154"/>
      <c r="M104" s="154"/>
      <c r="N104" s="361"/>
    </row>
    <row r="105" spans="1:15" s="115" customFormat="1" x14ac:dyDescent="0.2">
      <c r="A105" s="387" t="s">
        <v>80</v>
      </c>
      <c r="B105" s="117"/>
      <c r="C105" s="118"/>
      <c r="D105" s="119"/>
      <c r="E105" s="113" t="s">
        <v>104</v>
      </c>
      <c r="F105" s="384">
        <v>0</v>
      </c>
      <c r="G105" s="115">
        <f>G103+G101+G104</f>
        <v>718</v>
      </c>
      <c r="H105" s="384">
        <f>H102+H103+H104+H101</f>
        <v>719</v>
      </c>
      <c r="I105" s="217">
        <f t="shared" si="9"/>
        <v>100.13927576601671</v>
      </c>
      <c r="K105" s="456">
        <v>0</v>
      </c>
      <c r="L105" s="456">
        <v>718377.53</v>
      </c>
      <c r="M105" s="456">
        <v>719200.53</v>
      </c>
      <c r="N105" s="385"/>
    </row>
    <row r="106" spans="1:15" s="37" customFormat="1" ht="15" x14ac:dyDescent="0.25">
      <c r="A106" s="92" t="s">
        <v>81</v>
      </c>
      <c r="B106" s="47"/>
      <c r="C106" s="82">
        <v>1361</v>
      </c>
      <c r="D106" s="41"/>
      <c r="E106" s="60" t="s">
        <v>1</v>
      </c>
      <c r="F106" s="182">
        <v>200</v>
      </c>
      <c r="G106" s="183">
        <v>200</v>
      </c>
      <c r="H106" s="182">
        <v>117</v>
      </c>
      <c r="I106" s="17">
        <f t="shared" si="9"/>
        <v>58.5</v>
      </c>
      <c r="K106" s="154"/>
      <c r="L106" s="154"/>
      <c r="M106" s="154"/>
      <c r="N106" s="361"/>
    </row>
    <row r="107" spans="1:15" s="37" customFormat="1" ht="15" x14ac:dyDescent="0.25">
      <c r="A107" s="91" t="s">
        <v>81</v>
      </c>
      <c r="B107" s="104">
        <v>1032</v>
      </c>
      <c r="C107" s="82">
        <v>2131</v>
      </c>
      <c r="D107" s="41"/>
      <c r="E107" s="60" t="s">
        <v>21</v>
      </c>
      <c r="F107" s="182">
        <v>20</v>
      </c>
      <c r="G107" s="218">
        <v>20</v>
      </c>
      <c r="H107" s="182">
        <v>25</v>
      </c>
      <c r="I107" s="17">
        <f t="shared" si="9"/>
        <v>125</v>
      </c>
      <c r="K107" s="154"/>
      <c r="L107" s="154"/>
      <c r="M107" s="154"/>
      <c r="N107" s="361"/>
    </row>
    <row r="108" spans="1:15" s="37" customFormat="1" ht="15" x14ac:dyDescent="0.25">
      <c r="A108" s="91" t="s">
        <v>81</v>
      </c>
      <c r="B108" s="104">
        <v>1070</v>
      </c>
      <c r="C108" s="82">
        <v>2324</v>
      </c>
      <c r="D108" s="41"/>
      <c r="E108" s="60" t="s">
        <v>22</v>
      </c>
      <c r="F108" s="182"/>
      <c r="G108" s="218">
        <v>150</v>
      </c>
      <c r="H108" s="182">
        <v>150</v>
      </c>
      <c r="I108" s="17">
        <f t="shared" si="9"/>
        <v>100</v>
      </c>
      <c r="K108" s="154"/>
      <c r="L108" s="154"/>
      <c r="M108" s="154"/>
      <c r="N108" s="361"/>
    </row>
    <row r="109" spans="1:15" s="37" customFormat="1" ht="15" x14ac:dyDescent="0.25">
      <c r="A109" s="91" t="s">
        <v>81</v>
      </c>
      <c r="B109" s="104">
        <v>3769</v>
      </c>
      <c r="C109" s="82">
        <v>2212</v>
      </c>
      <c r="D109" s="41"/>
      <c r="E109" s="54" t="s">
        <v>109</v>
      </c>
      <c r="F109" s="182">
        <v>200</v>
      </c>
      <c r="G109" s="183">
        <v>200</v>
      </c>
      <c r="H109" s="182">
        <v>11</v>
      </c>
      <c r="I109" s="17">
        <f t="shared" si="9"/>
        <v>5.5</v>
      </c>
      <c r="K109" s="154"/>
      <c r="L109" s="154"/>
      <c r="M109" s="154"/>
      <c r="N109" s="361"/>
    </row>
    <row r="110" spans="1:15" s="37" customFormat="1" ht="15" x14ac:dyDescent="0.25">
      <c r="A110" s="91" t="s">
        <v>81</v>
      </c>
      <c r="B110" s="104">
        <v>3769</v>
      </c>
      <c r="C110" s="82">
        <v>2324</v>
      </c>
      <c r="D110" s="41"/>
      <c r="E110" s="60" t="s">
        <v>22</v>
      </c>
      <c r="F110" s="182"/>
      <c r="G110" s="183"/>
      <c r="H110" s="182">
        <v>5</v>
      </c>
      <c r="I110" s="17">
        <v>0</v>
      </c>
      <c r="K110" s="154"/>
      <c r="L110" s="154"/>
      <c r="M110" s="154"/>
      <c r="N110" s="361"/>
    </row>
    <row r="111" spans="1:15" s="37" customFormat="1" ht="15" x14ac:dyDescent="0.25">
      <c r="A111" s="91" t="s">
        <v>81</v>
      </c>
      <c r="B111" s="104">
        <v>6172</v>
      </c>
      <c r="C111" s="44">
        <v>2212</v>
      </c>
      <c r="D111" s="45"/>
      <c r="E111" s="54" t="s">
        <v>109</v>
      </c>
      <c r="F111" s="182"/>
      <c r="G111" s="183"/>
      <c r="H111" s="182">
        <v>180</v>
      </c>
      <c r="I111" s="17">
        <v>0</v>
      </c>
      <c r="K111" s="154"/>
      <c r="L111" s="154"/>
      <c r="M111" s="154"/>
      <c r="N111" s="361"/>
    </row>
    <row r="112" spans="1:15" s="37" customFormat="1" ht="15" x14ac:dyDescent="0.25">
      <c r="A112" s="91" t="s">
        <v>81</v>
      </c>
      <c r="B112" s="104">
        <v>6402</v>
      </c>
      <c r="C112" s="44">
        <v>2223</v>
      </c>
      <c r="D112" s="45"/>
      <c r="E112" s="59" t="s">
        <v>39</v>
      </c>
      <c r="F112" s="182"/>
      <c r="G112" s="183"/>
      <c r="H112" s="182">
        <v>169</v>
      </c>
      <c r="I112" s="17">
        <v>0</v>
      </c>
      <c r="K112" s="154"/>
      <c r="L112" s="154"/>
      <c r="M112" s="154"/>
      <c r="N112" s="361"/>
    </row>
    <row r="113" spans="1:14" s="37" customFormat="1" ht="15" x14ac:dyDescent="0.25">
      <c r="A113" s="91" t="s">
        <v>81</v>
      </c>
      <c r="B113" s="104">
        <v>6402</v>
      </c>
      <c r="C113" s="44">
        <v>2229</v>
      </c>
      <c r="D113" s="45"/>
      <c r="E113" s="54" t="s">
        <v>33</v>
      </c>
      <c r="F113" s="182"/>
      <c r="G113" s="183">
        <v>4</v>
      </c>
      <c r="H113" s="182">
        <v>4</v>
      </c>
      <c r="I113" s="17">
        <f>(H113/G113)*100</f>
        <v>100</v>
      </c>
      <c r="K113" s="154"/>
      <c r="L113" s="154"/>
      <c r="M113" s="154"/>
      <c r="N113" s="361"/>
    </row>
    <row r="114" spans="1:14" s="115" customFormat="1" x14ac:dyDescent="0.2">
      <c r="A114" s="387" t="s">
        <v>81</v>
      </c>
      <c r="B114" s="117"/>
      <c r="C114" s="120"/>
      <c r="D114" s="282"/>
      <c r="E114" s="113" t="s">
        <v>104</v>
      </c>
      <c r="F114" s="388">
        <f>F106+F107+F109</f>
        <v>420</v>
      </c>
      <c r="G114" s="388">
        <f>G106+G107+G108+G109+G113</f>
        <v>574</v>
      </c>
      <c r="H114" s="388">
        <f>H106+H107+H108+H109+H110+H111+H112+H113</f>
        <v>661</v>
      </c>
      <c r="I114" s="283">
        <f t="shared" ref="I114:I120" si="10">(H114/G114)*100</f>
        <v>115.1567944250871</v>
      </c>
      <c r="K114" s="456">
        <v>420000</v>
      </c>
      <c r="L114" s="456">
        <v>574080</v>
      </c>
      <c r="M114" s="456">
        <v>661318.80000000005</v>
      </c>
      <c r="N114" s="385"/>
    </row>
    <row r="115" spans="1:14" s="37" customFormat="1" ht="15" x14ac:dyDescent="0.25">
      <c r="A115" s="92" t="s">
        <v>82</v>
      </c>
      <c r="B115" s="47"/>
      <c r="C115" s="82">
        <v>1361</v>
      </c>
      <c r="D115" s="41"/>
      <c r="E115" s="60" t="s">
        <v>1</v>
      </c>
      <c r="F115" s="182">
        <v>100</v>
      </c>
      <c r="G115" s="183">
        <v>100</v>
      </c>
      <c r="H115" s="182">
        <v>160</v>
      </c>
      <c r="I115" s="17">
        <f t="shared" si="10"/>
        <v>160</v>
      </c>
      <c r="K115" s="154"/>
      <c r="L115" s="154"/>
      <c r="M115" s="154"/>
      <c r="N115" s="361"/>
    </row>
    <row r="116" spans="1:14" s="37" customFormat="1" ht="15" x14ac:dyDescent="0.25">
      <c r="A116" s="93" t="s">
        <v>82</v>
      </c>
      <c r="B116" s="104"/>
      <c r="C116" s="44">
        <v>4116</v>
      </c>
      <c r="D116" s="45"/>
      <c r="E116" s="48" t="s">
        <v>288</v>
      </c>
      <c r="F116" s="182"/>
      <c r="G116" s="182">
        <f>G117+G119+G120+G121+G122+G123+G124+G126+G127+G128+G129+G130+G131+G135+G136+G138+G139+G140+G141+G142+G143+G144+G145+G146+G147+G148+G149+G150+G152+G153+G154+G155+G156+G157+G158+G118</f>
        <v>5286236</v>
      </c>
      <c r="H116" s="182">
        <f>H117+H119+H120+H121+H122+H123+H124+H126+H127+H128+H129+H130+H131+H135+H136+H138+H139+H140+H141+H142+H143+H144+H145+H146+H147+H148+H149+H150+H152+H153+H154+H155+H156+H157+H158+H118</f>
        <v>5286236</v>
      </c>
      <c r="I116" s="17">
        <f t="shared" si="10"/>
        <v>100</v>
      </c>
      <c r="K116" s="154"/>
      <c r="L116" s="154"/>
      <c r="M116" s="154"/>
      <c r="N116" s="361"/>
    </row>
    <row r="117" spans="1:14" s="37" customFormat="1" ht="15" x14ac:dyDescent="0.25">
      <c r="A117" s="93" t="s">
        <v>82</v>
      </c>
      <c r="B117" s="104"/>
      <c r="C117" s="44"/>
      <c r="D117" s="50" t="s">
        <v>228</v>
      </c>
      <c r="E117" s="325" t="s">
        <v>56</v>
      </c>
      <c r="F117" s="354"/>
      <c r="G117" s="2">
        <v>2300</v>
      </c>
      <c r="H117" s="76">
        <v>2300</v>
      </c>
      <c r="I117" s="1">
        <f t="shared" si="10"/>
        <v>100</v>
      </c>
      <c r="K117" s="154"/>
      <c r="L117" s="154"/>
      <c r="M117" s="154"/>
      <c r="N117" s="361"/>
    </row>
    <row r="118" spans="1:14" s="37" customFormat="1" ht="15" x14ac:dyDescent="0.25">
      <c r="A118" s="93" t="s">
        <v>82</v>
      </c>
      <c r="B118" s="104"/>
      <c r="C118" s="44"/>
      <c r="D118" s="50" t="s">
        <v>299</v>
      </c>
      <c r="E118" s="325" t="s">
        <v>300</v>
      </c>
      <c r="F118" s="354"/>
      <c r="G118" s="2">
        <v>143</v>
      </c>
      <c r="H118" s="76">
        <v>143</v>
      </c>
      <c r="I118" s="1">
        <f t="shared" si="10"/>
        <v>100</v>
      </c>
      <c r="K118" s="154"/>
      <c r="L118" s="154"/>
      <c r="M118" s="154"/>
      <c r="N118" s="361"/>
    </row>
    <row r="119" spans="1:14" s="37" customFormat="1" ht="15" x14ac:dyDescent="0.25">
      <c r="A119" s="93" t="s">
        <v>82</v>
      </c>
      <c r="B119" s="104"/>
      <c r="C119" s="44"/>
      <c r="D119" s="50" t="s">
        <v>289</v>
      </c>
      <c r="E119" s="325" t="s">
        <v>305</v>
      </c>
      <c r="F119" s="354"/>
      <c r="G119" s="2">
        <v>87</v>
      </c>
      <c r="H119" s="76">
        <v>87</v>
      </c>
      <c r="I119" s="1">
        <f t="shared" si="10"/>
        <v>100</v>
      </c>
      <c r="K119" s="154"/>
      <c r="L119" s="154"/>
      <c r="M119" s="154"/>
      <c r="N119" s="361"/>
    </row>
    <row r="120" spans="1:14" s="37" customFormat="1" ht="15" x14ac:dyDescent="0.25">
      <c r="A120" s="93" t="s">
        <v>82</v>
      </c>
      <c r="B120" s="104"/>
      <c r="C120" s="44"/>
      <c r="D120" s="50" t="s">
        <v>290</v>
      </c>
      <c r="E120" s="325" t="s">
        <v>304</v>
      </c>
      <c r="F120" s="354"/>
      <c r="G120" s="2">
        <v>5</v>
      </c>
      <c r="H120" s="76">
        <v>5</v>
      </c>
      <c r="I120" s="1">
        <f t="shared" si="10"/>
        <v>100</v>
      </c>
      <c r="K120" s="154"/>
      <c r="L120" s="154"/>
      <c r="M120" s="154"/>
      <c r="N120" s="361"/>
    </row>
    <row r="121" spans="1:14" s="37" customFormat="1" ht="15" x14ac:dyDescent="0.25">
      <c r="A121" s="93" t="s">
        <v>82</v>
      </c>
      <c r="B121" s="104"/>
      <c r="C121" s="44"/>
      <c r="D121" s="51" t="s">
        <v>229</v>
      </c>
      <c r="E121" s="389" t="s">
        <v>69</v>
      </c>
      <c r="F121" s="354"/>
      <c r="G121" s="2">
        <v>3789</v>
      </c>
      <c r="H121" s="76">
        <v>3789</v>
      </c>
      <c r="I121" s="1">
        <f>(H121/G121)*100</f>
        <v>100</v>
      </c>
      <c r="K121" s="154"/>
      <c r="L121" s="154"/>
      <c r="M121" s="154"/>
      <c r="N121" s="361"/>
    </row>
    <row r="122" spans="1:14" s="37" customFormat="1" ht="15" x14ac:dyDescent="0.25">
      <c r="A122" s="93" t="s">
        <v>82</v>
      </c>
      <c r="B122" s="104"/>
      <c r="C122" s="44"/>
      <c r="D122" s="65" t="s">
        <v>230</v>
      </c>
      <c r="E122" s="279" t="s">
        <v>118</v>
      </c>
      <c r="F122" s="354"/>
      <c r="G122" s="2">
        <v>59</v>
      </c>
      <c r="H122" s="76">
        <v>59</v>
      </c>
      <c r="I122" s="1">
        <f t="shared" ref="I122:I150" si="11">(H122/G122)*100</f>
        <v>100</v>
      </c>
      <c r="K122" s="154"/>
      <c r="L122" s="154"/>
      <c r="M122" s="154"/>
      <c r="N122" s="361"/>
    </row>
    <row r="123" spans="1:14" s="37" customFormat="1" ht="15" x14ac:dyDescent="0.25">
      <c r="A123" s="93" t="s">
        <v>82</v>
      </c>
      <c r="B123" s="104"/>
      <c r="C123" s="44"/>
      <c r="D123" s="65" t="s">
        <v>231</v>
      </c>
      <c r="E123" s="125" t="s">
        <v>119</v>
      </c>
      <c r="F123" s="354"/>
      <c r="G123" s="2">
        <v>221</v>
      </c>
      <c r="H123" s="76">
        <v>221</v>
      </c>
      <c r="I123" s="1">
        <f t="shared" si="11"/>
        <v>100</v>
      </c>
      <c r="K123" s="154"/>
      <c r="L123" s="154"/>
      <c r="M123" s="154"/>
      <c r="N123" s="361"/>
    </row>
    <row r="124" spans="1:14" s="37" customFormat="1" ht="15" x14ac:dyDescent="0.25">
      <c r="A124" s="493" t="s">
        <v>82</v>
      </c>
      <c r="B124" s="104"/>
      <c r="C124" s="44"/>
      <c r="D124" s="501" t="s">
        <v>232</v>
      </c>
      <c r="E124" s="517" t="s">
        <v>133</v>
      </c>
      <c r="F124" s="354"/>
      <c r="G124" s="2">
        <v>544</v>
      </c>
      <c r="H124" s="76">
        <v>544</v>
      </c>
      <c r="I124" s="1">
        <f t="shared" si="11"/>
        <v>100</v>
      </c>
      <c r="K124" s="154"/>
      <c r="L124" s="154"/>
      <c r="M124" s="154"/>
      <c r="N124" s="361"/>
    </row>
    <row r="125" spans="1:14" s="37" customFormat="1" ht="15" x14ac:dyDescent="0.25">
      <c r="A125" s="494"/>
      <c r="B125" s="104"/>
      <c r="C125" s="44"/>
      <c r="D125" s="502"/>
      <c r="E125" s="504"/>
      <c r="F125" s="354"/>
      <c r="G125" s="2"/>
      <c r="H125" s="76"/>
      <c r="I125" s="1"/>
      <c r="K125" s="154"/>
      <c r="L125" s="154"/>
      <c r="M125" s="154"/>
      <c r="N125" s="361"/>
    </row>
    <row r="126" spans="1:14" s="37" customFormat="1" ht="15" x14ac:dyDescent="0.25">
      <c r="A126" s="93" t="s">
        <v>82</v>
      </c>
      <c r="B126" s="104"/>
      <c r="C126" s="44"/>
      <c r="D126" s="51" t="s">
        <v>233</v>
      </c>
      <c r="E126" s="389" t="s">
        <v>134</v>
      </c>
      <c r="F126" s="354"/>
      <c r="G126" s="2">
        <v>88</v>
      </c>
      <c r="H126" s="76">
        <v>88</v>
      </c>
      <c r="I126" s="1">
        <f t="shared" si="11"/>
        <v>100</v>
      </c>
      <c r="K126" s="154"/>
      <c r="L126" s="154"/>
      <c r="M126" s="154"/>
      <c r="N126" s="361"/>
    </row>
    <row r="127" spans="1:14" s="37" customFormat="1" ht="15" x14ac:dyDescent="0.25">
      <c r="A127" s="93" t="s">
        <v>82</v>
      </c>
      <c r="B127" s="104"/>
      <c r="C127" s="44"/>
      <c r="D127" s="51" t="s">
        <v>234</v>
      </c>
      <c r="E127" s="389" t="s">
        <v>154</v>
      </c>
      <c r="F127" s="354"/>
      <c r="G127" s="2">
        <v>1441</v>
      </c>
      <c r="H127" s="76">
        <v>1441</v>
      </c>
      <c r="I127" s="1">
        <f t="shared" si="11"/>
        <v>100</v>
      </c>
      <c r="K127" s="154"/>
      <c r="L127" s="154"/>
      <c r="M127" s="154"/>
      <c r="N127" s="361"/>
    </row>
    <row r="128" spans="1:14" s="37" customFormat="1" ht="15" x14ac:dyDescent="0.25">
      <c r="A128" s="93" t="s">
        <v>82</v>
      </c>
      <c r="B128" s="104"/>
      <c r="C128" s="44"/>
      <c r="D128" s="51" t="s">
        <v>235</v>
      </c>
      <c r="E128" s="389" t="s">
        <v>177</v>
      </c>
      <c r="F128" s="354"/>
      <c r="G128" s="2">
        <v>66</v>
      </c>
      <c r="H128" s="76">
        <v>66</v>
      </c>
      <c r="I128" s="1">
        <f t="shared" si="11"/>
        <v>100</v>
      </c>
      <c r="K128" s="154"/>
      <c r="L128" s="154"/>
      <c r="M128" s="154"/>
      <c r="N128" s="361"/>
    </row>
    <row r="129" spans="1:14" s="37" customFormat="1" ht="15" x14ac:dyDescent="0.25">
      <c r="A129" s="93" t="s">
        <v>82</v>
      </c>
      <c r="B129" s="104"/>
      <c r="C129" s="44"/>
      <c r="D129" s="51" t="s">
        <v>291</v>
      </c>
      <c r="E129" s="389" t="s">
        <v>301</v>
      </c>
      <c r="F129" s="354"/>
      <c r="G129" s="2">
        <v>97</v>
      </c>
      <c r="H129" s="76">
        <v>97</v>
      </c>
      <c r="I129" s="1">
        <f t="shared" si="11"/>
        <v>100</v>
      </c>
      <c r="K129" s="154"/>
      <c r="L129" s="154"/>
      <c r="M129" s="154"/>
      <c r="N129" s="361"/>
    </row>
    <row r="130" spans="1:14" s="37" customFormat="1" ht="15" x14ac:dyDescent="0.25">
      <c r="A130" s="93" t="s">
        <v>82</v>
      </c>
      <c r="B130" s="104"/>
      <c r="C130" s="44"/>
      <c r="D130" s="51" t="s">
        <v>236</v>
      </c>
      <c r="E130" s="389" t="s">
        <v>178</v>
      </c>
      <c r="F130" s="354"/>
      <c r="G130" s="2">
        <v>382</v>
      </c>
      <c r="H130" s="76">
        <v>382</v>
      </c>
      <c r="I130" s="1">
        <f t="shared" si="11"/>
        <v>100</v>
      </c>
      <c r="K130" s="154"/>
      <c r="L130" s="154"/>
      <c r="M130" s="154"/>
      <c r="N130" s="361"/>
    </row>
    <row r="131" spans="1:14" s="37" customFormat="1" ht="15.75" thickBot="1" x14ac:dyDescent="0.3">
      <c r="A131" s="284" t="s">
        <v>82</v>
      </c>
      <c r="B131" s="285"/>
      <c r="C131" s="286"/>
      <c r="D131" s="287" t="s">
        <v>292</v>
      </c>
      <c r="E131" s="390" t="s">
        <v>302</v>
      </c>
      <c r="F131" s="391"/>
      <c r="G131" s="333">
        <v>1301</v>
      </c>
      <c r="H131" s="288">
        <v>1301</v>
      </c>
      <c r="I131" s="214">
        <f t="shared" si="11"/>
        <v>100</v>
      </c>
      <c r="K131" s="296"/>
      <c r="L131" s="296"/>
      <c r="M131" s="296"/>
      <c r="N131" s="361"/>
    </row>
    <row r="132" spans="1:14" ht="13.5" customHeight="1" thickTop="1" thickBot="1" x14ac:dyDescent="0.3">
      <c r="A132" s="95"/>
      <c r="F132" s="446">
        <f>F114+F105+F100</f>
        <v>3478344</v>
      </c>
      <c r="G132" s="446">
        <f>G114+G105+G100</f>
        <v>3993085</v>
      </c>
      <c r="H132" s="446">
        <f>H114+H105+H100</f>
        <v>4955231</v>
      </c>
      <c r="I132" s="32" t="s">
        <v>0</v>
      </c>
      <c r="K132" s="136">
        <f>K114+K105+K100</f>
        <v>3478343800</v>
      </c>
      <c r="L132" s="136">
        <f>L100+L105+L114</f>
        <v>3993085659.8300004</v>
      </c>
      <c r="M132" s="136">
        <f>M114+M105+M100</f>
        <v>4955231227.0600004</v>
      </c>
    </row>
    <row r="133" spans="1:14" s="37" customFormat="1" ht="20.25" customHeight="1" thickTop="1" thickBot="1" x14ac:dyDescent="0.25">
      <c r="A133" s="74" t="s">
        <v>73</v>
      </c>
      <c r="B133" s="72" t="s">
        <v>13</v>
      </c>
      <c r="C133" s="33" t="s">
        <v>2</v>
      </c>
      <c r="D133" s="450" t="s">
        <v>326</v>
      </c>
      <c r="E133" s="34" t="s">
        <v>3</v>
      </c>
      <c r="F133" s="35" t="s">
        <v>4</v>
      </c>
      <c r="G133" s="35" t="s">
        <v>5</v>
      </c>
      <c r="H133" s="35" t="s">
        <v>18</v>
      </c>
      <c r="I133" s="36" t="s">
        <v>19</v>
      </c>
      <c r="K133" s="154"/>
      <c r="L133" s="154"/>
      <c r="M133" s="154"/>
      <c r="N133" s="361"/>
    </row>
    <row r="134" spans="1:14" s="38" customFormat="1" ht="12.75" thickTop="1" x14ac:dyDescent="0.2">
      <c r="A134" s="90">
        <v>1</v>
      </c>
      <c r="B134" s="85">
        <v>2</v>
      </c>
      <c r="C134" s="86">
        <v>3</v>
      </c>
      <c r="D134" s="85">
        <v>4</v>
      </c>
      <c r="E134" s="86">
        <v>5</v>
      </c>
      <c r="F134" s="85">
        <v>6</v>
      </c>
      <c r="G134" s="87">
        <v>7</v>
      </c>
      <c r="H134" s="88">
        <v>8</v>
      </c>
      <c r="I134" s="89" t="s">
        <v>74</v>
      </c>
      <c r="J134" s="37"/>
      <c r="K134" s="213"/>
      <c r="L134" s="213"/>
      <c r="M134" s="213"/>
      <c r="N134" s="362"/>
    </row>
    <row r="135" spans="1:14" s="37" customFormat="1" ht="15" x14ac:dyDescent="0.25">
      <c r="A135" s="93" t="s">
        <v>82</v>
      </c>
      <c r="B135" s="104"/>
      <c r="C135" s="44"/>
      <c r="D135" s="51" t="s">
        <v>293</v>
      </c>
      <c r="E135" s="389" t="s">
        <v>303</v>
      </c>
      <c r="F135" s="354"/>
      <c r="G135" s="2">
        <v>13859</v>
      </c>
      <c r="H135" s="76">
        <v>13859</v>
      </c>
      <c r="I135" s="1">
        <f t="shared" si="11"/>
        <v>100</v>
      </c>
      <c r="K135" s="154"/>
      <c r="L135" s="154"/>
      <c r="M135" s="154"/>
      <c r="N135" s="361"/>
    </row>
    <row r="136" spans="1:14" s="37" customFormat="1" ht="15" x14ac:dyDescent="0.25">
      <c r="A136" s="493" t="s">
        <v>82</v>
      </c>
      <c r="B136" s="104"/>
      <c r="C136" s="44"/>
      <c r="D136" s="501" t="s">
        <v>294</v>
      </c>
      <c r="E136" s="500" t="s">
        <v>321</v>
      </c>
      <c r="F136" s="354"/>
      <c r="G136" s="2">
        <v>2926</v>
      </c>
      <c r="H136" s="76">
        <v>2926</v>
      </c>
      <c r="I136" s="1">
        <f t="shared" si="11"/>
        <v>100</v>
      </c>
      <c r="K136" s="154"/>
      <c r="L136" s="154"/>
      <c r="M136" s="154"/>
      <c r="N136" s="361"/>
    </row>
    <row r="137" spans="1:14" s="37" customFormat="1" ht="15" x14ac:dyDescent="0.25">
      <c r="A137" s="494"/>
      <c r="B137" s="104"/>
      <c r="C137" s="44"/>
      <c r="D137" s="502"/>
      <c r="E137" s="500"/>
      <c r="F137" s="354"/>
      <c r="G137" s="2"/>
      <c r="H137" s="76"/>
      <c r="I137" s="1"/>
      <c r="K137" s="154"/>
      <c r="L137" s="154"/>
      <c r="M137" s="154"/>
      <c r="N137" s="361"/>
    </row>
    <row r="138" spans="1:14" s="37" customFormat="1" ht="15" x14ac:dyDescent="0.25">
      <c r="A138" s="93" t="s">
        <v>82</v>
      </c>
      <c r="B138" s="104"/>
      <c r="C138" s="44"/>
      <c r="D138" s="51" t="s">
        <v>295</v>
      </c>
      <c r="E138" s="389" t="s">
        <v>307</v>
      </c>
      <c r="F138" s="354"/>
      <c r="G138" s="2">
        <v>9577</v>
      </c>
      <c r="H138" s="76">
        <v>9577</v>
      </c>
      <c r="I138" s="1">
        <f t="shared" si="11"/>
        <v>100</v>
      </c>
      <c r="K138" s="154"/>
      <c r="L138" s="154"/>
      <c r="M138" s="154"/>
      <c r="N138" s="361"/>
    </row>
    <row r="139" spans="1:14" s="37" customFormat="1" ht="15" x14ac:dyDescent="0.25">
      <c r="A139" s="93" t="s">
        <v>82</v>
      </c>
      <c r="B139" s="104"/>
      <c r="C139" s="44"/>
      <c r="D139" s="51" t="s">
        <v>296</v>
      </c>
      <c r="E139" s="389" t="s">
        <v>306</v>
      </c>
      <c r="F139" s="354"/>
      <c r="G139" s="2">
        <v>29186</v>
      </c>
      <c r="H139" s="76">
        <v>29186</v>
      </c>
      <c r="I139" s="1">
        <f t="shared" si="11"/>
        <v>100</v>
      </c>
      <c r="K139" s="154"/>
      <c r="L139" s="154"/>
      <c r="M139" s="154"/>
      <c r="N139" s="361"/>
    </row>
    <row r="140" spans="1:14" s="37" customFormat="1" ht="15" x14ac:dyDescent="0.25">
      <c r="A140" s="93" t="s">
        <v>82</v>
      </c>
      <c r="B140" s="104"/>
      <c r="C140" s="44"/>
      <c r="D140" s="51" t="s">
        <v>237</v>
      </c>
      <c r="E140" s="155" t="s">
        <v>57</v>
      </c>
      <c r="F140" s="354"/>
      <c r="G140" s="2">
        <v>210</v>
      </c>
      <c r="H140" s="76">
        <v>210</v>
      </c>
      <c r="I140" s="1">
        <f t="shared" si="11"/>
        <v>100</v>
      </c>
      <c r="K140" s="154"/>
      <c r="L140" s="154"/>
      <c r="M140" s="154"/>
      <c r="N140" s="361"/>
    </row>
    <row r="141" spans="1:14" s="37" customFormat="1" ht="15" x14ac:dyDescent="0.25">
      <c r="A141" s="93" t="s">
        <v>82</v>
      </c>
      <c r="B141" s="104"/>
      <c r="C141" s="44"/>
      <c r="D141" s="46" t="s">
        <v>238</v>
      </c>
      <c r="E141" s="392" t="s">
        <v>44</v>
      </c>
      <c r="F141" s="290"/>
      <c r="G141" s="221">
        <v>230821</v>
      </c>
      <c r="H141" s="76">
        <v>230821</v>
      </c>
      <c r="I141" s="1">
        <f t="shared" si="11"/>
        <v>100</v>
      </c>
      <c r="K141" s="154"/>
      <c r="L141" s="154"/>
      <c r="M141" s="154"/>
      <c r="N141" s="361"/>
    </row>
    <row r="142" spans="1:14" s="37" customFormat="1" ht="15" x14ac:dyDescent="0.25">
      <c r="A142" s="93" t="s">
        <v>82</v>
      </c>
      <c r="B142" s="104"/>
      <c r="C142" s="44"/>
      <c r="D142" s="51" t="s">
        <v>239</v>
      </c>
      <c r="E142" s="155" t="s">
        <v>135</v>
      </c>
      <c r="F142" s="290"/>
      <c r="G142" s="221">
        <v>541</v>
      </c>
      <c r="H142" s="76">
        <v>541</v>
      </c>
      <c r="I142" s="1">
        <f t="shared" si="11"/>
        <v>100</v>
      </c>
      <c r="K142" s="154"/>
      <c r="L142" s="154"/>
      <c r="M142" s="154"/>
      <c r="N142" s="361"/>
    </row>
    <row r="143" spans="1:14" s="37" customFormat="1" ht="15" x14ac:dyDescent="0.25">
      <c r="A143" s="93" t="s">
        <v>82</v>
      </c>
      <c r="B143" s="104"/>
      <c r="C143" s="44"/>
      <c r="D143" s="51" t="s">
        <v>240</v>
      </c>
      <c r="E143" s="357" t="s">
        <v>136</v>
      </c>
      <c r="F143" s="290"/>
      <c r="G143" s="221">
        <v>1446</v>
      </c>
      <c r="H143" s="76">
        <v>1446</v>
      </c>
      <c r="I143" s="1">
        <f t="shared" si="11"/>
        <v>100</v>
      </c>
      <c r="K143" s="154"/>
      <c r="L143" s="154"/>
      <c r="M143" s="154"/>
      <c r="N143" s="361"/>
    </row>
    <row r="144" spans="1:14" s="37" customFormat="1" ht="15" x14ac:dyDescent="0.25">
      <c r="A144" s="93" t="s">
        <v>82</v>
      </c>
      <c r="B144" s="104"/>
      <c r="C144" s="44"/>
      <c r="D144" s="51" t="s">
        <v>241</v>
      </c>
      <c r="E144" s="389" t="s">
        <v>67</v>
      </c>
      <c r="F144" s="290"/>
      <c r="G144" s="221">
        <v>82</v>
      </c>
      <c r="H144" s="76">
        <v>82</v>
      </c>
      <c r="I144" s="1">
        <f t="shared" si="11"/>
        <v>100</v>
      </c>
      <c r="K144" s="154"/>
      <c r="L144" s="154"/>
      <c r="M144" s="154"/>
      <c r="N144" s="361"/>
    </row>
    <row r="145" spans="1:14" s="37" customFormat="1" ht="15" x14ac:dyDescent="0.25">
      <c r="A145" s="93" t="s">
        <v>82</v>
      </c>
      <c r="B145" s="104"/>
      <c r="C145" s="44"/>
      <c r="D145" s="51" t="s">
        <v>242</v>
      </c>
      <c r="E145" s="357" t="s">
        <v>137</v>
      </c>
      <c r="F145" s="354"/>
      <c r="G145" s="2">
        <v>5828</v>
      </c>
      <c r="H145" s="76">
        <v>5828</v>
      </c>
      <c r="I145" s="1">
        <f t="shared" si="11"/>
        <v>100</v>
      </c>
      <c r="K145" s="154"/>
      <c r="L145" s="154"/>
      <c r="M145" s="154"/>
      <c r="N145" s="361"/>
    </row>
    <row r="146" spans="1:14" s="37" customFormat="1" ht="15" x14ac:dyDescent="0.25">
      <c r="A146" s="93" t="s">
        <v>82</v>
      </c>
      <c r="B146" s="104"/>
      <c r="C146" s="44"/>
      <c r="D146" s="51" t="s">
        <v>243</v>
      </c>
      <c r="E146" s="357" t="s">
        <v>179</v>
      </c>
      <c r="F146" s="354"/>
      <c r="G146" s="2">
        <v>5</v>
      </c>
      <c r="H146" s="76">
        <v>5</v>
      </c>
      <c r="I146" s="1">
        <f t="shared" si="11"/>
        <v>100</v>
      </c>
      <c r="K146" s="154"/>
      <c r="L146" s="154"/>
      <c r="M146" s="154"/>
      <c r="N146" s="361"/>
    </row>
    <row r="147" spans="1:14" s="37" customFormat="1" ht="15" x14ac:dyDescent="0.25">
      <c r="A147" s="93" t="s">
        <v>82</v>
      </c>
      <c r="B147" s="104"/>
      <c r="C147" s="44"/>
      <c r="D147" s="51" t="s">
        <v>297</v>
      </c>
      <c r="E147" s="357" t="s">
        <v>308</v>
      </c>
      <c r="F147" s="354"/>
      <c r="G147" s="2">
        <v>200</v>
      </c>
      <c r="H147" s="76">
        <v>200</v>
      </c>
      <c r="I147" s="1">
        <f t="shared" si="11"/>
        <v>100</v>
      </c>
      <c r="K147" s="154"/>
      <c r="L147" s="154"/>
      <c r="M147" s="154"/>
      <c r="N147" s="361"/>
    </row>
    <row r="148" spans="1:14" s="37" customFormat="1" ht="15" x14ac:dyDescent="0.25">
      <c r="A148" s="93" t="s">
        <v>82</v>
      </c>
      <c r="B148" s="104"/>
      <c r="C148" s="44"/>
      <c r="D148" s="51" t="s">
        <v>298</v>
      </c>
      <c r="E148" s="357" t="s">
        <v>309</v>
      </c>
      <c r="F148" s="354"/>
      <c r="G148" s="2">
        <v>46</v>
      </c>
      <c r="H148" s="76">
        <v>46</v>
      </c>
      <c r="I148" s="1">
        <f t="shared" si="11"/>
        <v>100</v>
      </c>
      <c r="K148" s="154"/>
      <c r="L148" s="154"/>
      <c r="M148" s="154"/>
      <c r="N148" s="361"/>
    </row>
    <row r="149" spans="1:14" s="37" customFormat="1" ht="15" x14ac:dyDescent="0.25">
      <c r="A149" s="93" t="s">
        <v>82</v>
      </c>
      <c r="B149" s="104"/>
      <c r="C149" s="44"/>
      <c r="D149" s="46" t="s">
        <v>244</v>
      </c>
      <c r="E149" s="47" t="s">
        <v>43</v>
      </c>
      <c r="F149" s="290"/>
      <c r="G149" s="221">
        <v>4961121</v>
      </c>
      <c r="H149" s="76">
        <v>4961121</v>
      </c>
      <c r="I149" s="1">
        <f t="shared" si="11"/>
        <v>100</v>
      </c>
      <c r="K149" s="154"/>
      <c r="L149" s="154"/>
      <c r="M149" s="154"/>
      <c r="N149" s="361"/>
    </row>
    <row r="150" spans="1:14" s="37" customFormat="1" ht="15" customHeight="1" x14ac:dyDescent="0.25">
      <c r="A150" s="493" t="s">
        <v>82</v>
      </c>
      <c r="B150" s="104"/>
      <c r="C150" s="44"/>
      <c r="D150" s="501" t="s">
        <v>245</v>
      </c>
      <c r="E150" s="516" t="s">
        <v>155</v>
      </c>
      <c r="F150" s="290"/>
      <c r="G150" s="221">
        <v>42</v>
      </c>
      <c r="H150" s="76">
        <v>42</v>
      </c>
      <c r="I150" s="1">
        <f t="shared" si="11"/>
        <v>100</v>
      </c>
      <c r="K150" s="154"/>
      <c r="L150" s="154"/>
      <c r="M150" s="154"/>
      <c r="N150" s="361"/>
    </row>
    <row r="151" spans="1:14" s="37" customFormat="1" ht="15" x14ac:dyDescent="0.25">
      <c r="A151" s="494"/>
      <c r="B151" s="104"/>
      <c r="C151" s="44"/>
      <c r="D151" s="502"/>
      <c r="E151" s="504"/>
      <c r="F151" s="290"/>
      <c r="G151" s="221"/>
      <c r="H151" s="76"/>
      <c r="I151" s="1"/>
      <c r="K151" s="154"/>
      <c r="L151" s="154"/>
      <c r="M151" s="154"/>
      <c r="N151" s="361"/>
    </row>
    <row r="152" spans="1:14" s="37" customFormat="1" ht="15" x14ac:dyDescent="0.25">
      <c r="A152" s="93" t="s">
        <v>82</v>
      </c>
      <c r="B152" s="104"/>
      <c r="C152" s="44"/>
      <c r="D152" s="51" t="s">
        <v>246</v>
      </c>
      <c r="E152" s="389" t="s">
        <v>64</v>
      </c>
      <c r="F152" s="354"/>
      <c r="G152" s="2">
        <v>8126</v>
      </c>
      <c r="H152" s="76">
        <v>8126</v>
      </c>
      <c r="I152" s="1">
        <f t="shared" ref="I152:I161" si="12">(H152/G152)*100</f>
        <v>100</v>
      </c>
      <c r="K152" s="154"/>
      <c r="L152" s="154"/>
      <c r="M152" s="154"/>
      <c r="N152" s="361"/>
    </row>
    <row r="153" spans="1:14" s="37" customFormat="1" ht="15" x14ac:dyDescent="0.25">
      <c r="A153" s="93" t="s">
        <v>82</v>
      </c>
      <c r="B153" s="104"/>
      <c r="C153" s="44"/>
      <c r="D153" s="51" t="s">
        <v>247</v>
      </c>
      <c r="E153" s="357" t="s">
        <v>70</v>
      </c>
      <c r="F153" s="354"/>
      <c r="G153" s="2">
        <v>1558</v>
      </c>
      <c r="H153" s="76">
        <v>1558</v>
      </c>
      <c r="I153" s="1">
        <f t="shared" si="12"/>
        <v>100</v>
      </c>
      <c r="K153" s="154"/>
      <c r="L153" s="154"/>
      <c r="M153" s="154"/>
      <c r="N153" s="361"/>
    </row>
    <row r="154" spans="1:14" s="37" customFormat="1" ht="15" x14ac:dyDescent="0.25">
      <c r="A154" s="93" t="s">
        <v>82</v>
      </c>
      <c r="B154" s="104"/>
      <c r="C154" s="44"/>
      <c r="D154" s="65" t="s">
        <v>248</v>
      </c>
      <c r="E154" s="127" t="s">
        <v>120</v>
      </c>
      <c r="F154" s="354"/>
      <c r="G154" s="2">
        <v>29</v>
      </c>
      <c r="H154" s="76">
        <v>29</v>
      </c>
      <c r="I154" s="1">
        <f t="shared" si="12"/>
        <v>100</v>
      </c>
      <c r="K154" s="154"/>
      <c r="L154" s="154"/>
      <c r="M154" s="154"/>
      <c r="N154" s="361"/>
    </row>
    <row r="155" spans="1:14" s="37" customFormat="1" ht="15" x14ac:dyDescent="0.25">
      <c r="A155" s="93" t="s">
        <v>82</v>
      </c>
      <c r="B155" s="104"/>
      <c r="C155" s="44"/>
      <c r="D155" s="51" t="s">
        <v>249</v>
      </c>
      <c r="E155" s="357" t="s">
        <v>70</v>
      </c>
      <c r="F155" s="354"/>
      <c r="G155" s="2">
        <v>8826</v>
      </c>
      <c r="H155" s="76">
        <v>8826</v>
      </c>
      <c r="I155" s="1">
        <f t="shared" si="12"/>
        <v>100</v>
      </c>
      <c r="K155" s="154"/>
      <c r="L155" s="154"/>
      <c r="M155" s="154"/>
      <c r="N155" s="361"/>
    </row>
    <row r="156" spans="1:14" s="37" customFormat="1" ht="15" x14ac:dyDescent="0.25">
      <c r="A156" s="93" t="s">
        <v>82</v>
      </c>
      <c r="B156" s="106"/>
      <c r="C156" s="44"/>
      <c r="D156" s="65" t="s">
        <v>250</v>
      </c>
      <c r="E156" s="127" t="s">
        <v>120</v>
      </c>
      <c r="F156" s="354"/>
      <c r="G156" s="2">
        <v>165</v>
      </c>
      <c r="H156" s="76">
        <v>165</v>
      </c>
      <c r="I156" s="1">
        <f t="shared" si="12"/>
        <v>100</v>
      </c>
      <c r="K156" s="154"/>
      <c r="L156" s="154"/>
      <c r="M156" s="154"/>
      <c r="N156" s="361"/>
    </row>
    <row r="157" spans="1:14" s="37" customFormat="1" ht="15" x14ac:dyDescent="0.25">
      <c r="A157" s="93" t="s">
        <v>82</v>
      </c>
      <c r="B157" s="106"/>
      <c r="C157" s="44"/>
      <c r="D157" s="65" t="s">
        <v>224</v>
      </c>
      <c r="E157" s="220" t="s">
        <v>156</v>
      </c>
      <c r="F157" s="354"/>
      <c r="G157" s="2">
        <v>168</v>
      </c>
      <c r="H157" s="76">
        <v>168</v>
      </c>
      <c r="I157" s="1">
        <f t="shared" si="12"/>
        <v>100</v>
      </c>
      <c r="K157" s="154"/>
      <c r="L157" s="154"/>
      <c r="M157" s="154"/>
      <c r="N157" s="361"/>
    </row>
    <row r="158" spans="1:14" s="37" customFormat="1" ht="15" x14ac:dyDescent="0.25">
      <c r="A158" s="93" t="s">
        <v>82</v>
      </c>
      <c r="B158" s="106"/>
      <c r="C158" s="44"/>
      <c r="D158" s="65" t="s">
        <v>225</v>
      </c>
      <c r="E158" s="220" t="s">
        <v>156</v>
      </c>
      <c r="F158" s="354"/>
      <c r="G158" s="2">
        <v>951</v>
      </c>
      <c r="H158" s="76">
        <v>951</v>
      </c>
      <c r="I158" s="1">
        <f t="shared" si="12"/>
        <v>100</v>
      </c>
      <c r="K158" s="154"/>
      <c r="L158" s="154"/>
      <c r="M158" s="154"/>
      <c r="N158" s="361"/>
    </row>
    <row r="159" spans="1:14" s="37" customFormat="1" ht="15" x14ac:dyDescent="0.25">
      <c r="A159" s="93" t="s">
        <v>82</v>
      </c>
      <c r="B159" s="106">
        <v>6172</v>
      </c>
      <c r="C159" s="44">
        <v>2123</v>
      </c>
      <c r="D159" s="51"/>
      <c r="E159" s="60" t="s">
        <v>209</v>
      </c>
      <c r="F159" s="354"/>
      <c r="G159" s="2"/>
      <c r="H159" s="290">
        <v>3</v>
      </c>
      <c r="I159" s="17">
        <v>0</v>
      </c>
      <c r="K159" s="154"/>
      <c r="L159" s="154"/>
      <c r="M159" s="154"/>
      <c r="N159" s="361"/>
    </row>
    <row r="160" spans="1:14" s="37" customFormat="1" ht="15" x14ac:dyDescent="0.25">
      <c r="A160" s="93" t="s">
        <v>82</v>
      </c>
      <c r="B160" s="106">
        <v>6172</v>
      </c>
      <c r="C160" s="44">
        <v>2132</v>
      </c>
      <c r="D160" s="45"/>
      <c r="E160" s="112" t="s">
        <v>38</v>
      </c>
      <c r="F160" s="182">
        <v>101</v>
      </c>
      <c r="G160" s="182">
        <v>101</v>
      </c>
      <c r="H160" s="182">
        <v>101</v>
      </c>
      <c r="I160" s="17">
        <f t="shared" si="12"/>
        <v>100</v>
      </c>
      <c r="K160" s="154"/>
      <c r="L160" s="154"/>
      <c r="M160" s="154"/>
      <c r="N160" s="361"/>
    </row>
    <row r="161" spans="1:14" s="37" customFormat="1" ht="15" x14ac:dyDescent="0.25">
      <c r="A161" s="93" t="s">
        <v>82</v>
      </c>
      <c r="B161" s="106">
        <v>6172</v>
      </c>
      <c r="C161" s="44">
        <v>2212</v>
      </c>
      <c r="D161" s="50"/>
      <c r="E161" s="54" t="s">
        <v>109</v>
      </c>
      <c r="F161" s="170"/>
      <c r="G161" s="183">
        <v>54</v>
      </c>
      <c r="H161" s="182">
        <v>54</v>
      </c>
      <c r="I161" s="17">
        <f t="shared" si="12"/>
        <v>100</v>
      </c>
      <c r="K161" s="154"/>
      <c r="L161" s="154"/>
      <c r="M161" s="154"/>
      <c r="N161" s="361"/>
    </row>
    <row r="162" spans="1:14" s="37" customFormat="1" ht="15" x14ac:dyDescent="0.25">
      <c r="A162" s="93" t="s">
        <v>82</v>
      </c>
      <c r="B162" s="106">
        <v>6402</v>
      </c>
      <c r="C162" s="44">
        <v>2229</v>
      </c>
      <c r="D162" s="45"/>
      <c r="E162" s="60" t="s">
        <v>33</v>
      </c>
      <c r="F162" s="182"/>
      <c r="G162" s="218">
        <v>5154</v>
      </c>
      <c r="H162" s="182">
        <v>5421</v>
      </c>
      <c r="I162" s="61">
        <f>(H162/G162)*100</f>
        <v>105.18044237485449</v>
      </c>
      <c r="K162" s="154"/>
      <c r="L162" s="154"/>
      <c r="M162" s="154"/>
      <c r="N162" s="361"/>
    </row>
    <row r="163" spans="1:14" s="115" customFormat="1" x14ac:dyDescent="0.2">
      <c r="A163" s="393" t="s">
        <v>82</v>
      </c>
      <c r="B163" s="117"/>
      <c r="C163" s="120"/>
      <c r="D163" s="122"/>
      <c r="E163" s="113" t="s">
        <v>104</v>
      </c>
      <c r="F163" s="388">
        <f>F115+F160</f>
        <v>201</v>
      </c>
      <c r="G163" s="388">
        <f>G115+G116+G160+G161+G162</f>
        <v>5291645</v>
      </c>
      <c r="H163" s="388">
        <f>H115+H116+H160+H161+H162+H159</f>
        <v>5291975</v>
      </c>
      <c r="I163" s="121">
        <f>(H163/G163)*100</f>
        <v>100.00623624600668</v>
      </c>
      <c r="K163" s="456">
        <v>201000</v>
      </c>
      <c r="L163" s="456">
        <v>5291644881.6499996</v>
      </c>
      <c r="M163" s="456">
        <v>5291975156.7700005</v>
      </c>
      <c r="N163" s="385"/>
    </row>
    <row r="164" spans="1:14" s="158" customFormat="1" ht="15" x14ac:dyDescent="0.25">
      <c r="A164" s="159" t="s">
        <v>83</v>
      </c>
      <c r="B164" s="323"/>
      <c r="C164" s="44">
        <v>4116</v>
      </c>
      <c r="D164" s="45"/>
      <c r="E164" s="48" t="s">
        <v>288</v>
      </c>
      <c r="F164" s="239"/>
      <c r="G164" s="324">
        <f>G165+G166</f>
        <v>974</v>
      </c>
      <c r="H164" s="324">
        <f>H165+H166</f>
        <v>974</v>
      </c>
      <c r="I164" s="17">
        <f t="shared" ref="I164" si="13">(H164/G164)*100</f>
        <v>100</v>
      </c>
      <c r="K164" s="227"/>
      <c r="L164" s="227"/>
      <c r="M164" s="227"/>
      <c r="N164" s="386"/>
    </row>
    <row r="165" spans="1:14" s="158" customFormat="1" x14ac:dyDescent="0.2">
      <c r="A165" s="159" t="s">
        <v>83</v>
      </c>
      <c r="B165" s="323"/>
      <c r="C165" s="44"/>
      <c r="D165" s="46" t="s">
        <v>224</v>
      </c>
      <c r="E165" s="281" t="s">
        <v>310</v>
      </c>
      <c r="F165" s="239"/>
      <c r="G165" s="184">
        <v>146</v>
      </c>
      <c r="H165" s="170">
        <v>146</v>
      </c>
      <c r="I165" s="1">
        <f t="shared" ref="I165:I166" si="14">(H165/G165)*100</f>
        <v>100</v>
      </c>
      <c r="K165" s="227"/>
      <c r="L165" s="227"/>
      <c r="M165" s="227"/>
      <c r="N165" s="386"/>
    </row>
    <row r="166" spans="1:14" s="158" customFormat="1" x14ac:dyDescent="0.2">
      <c r="A166" s="159" t="s">
        <v>83</v>
      </c>
      <c r="B166" s="323"/>
      <c r="C166" s="171"/>
      <c r="D166" s="46" t="s">
        <v>225</v>
      </c>
      <c r="E166" s="281" t="s">
        <v>310</v>
      </c>
      <c r="F166" s="239"/>
      <c r="G166" s="184">
        <v>828</v>
      </c>
      <c r="H166" s="170">
        <v>828</v>
      </c>
      <c r="I166" s="1">
        <f t="shared" si="14"/>
        <v>100</v>
      </c>
      <c r="K166" s="227"/>
      <c r="L166" s="227"/>
      <c r="M166" s="227"/>
      <c r="N166" s="386"/>
    </row>
    <row r="167" spans="1:14" s="37" customFormat="1" ht="15" x14ac:dyDescent="0.25">
      <c r="A167" s="93" t="s">
        <v>83</v>
      </c>
      <c r="B167" s="104">
        <v>6402</v>
      </c>
      <c r="C167" s="44">
        <v>2229</v>
      </c>
      <c r="D167" s="51"/>
      <c r="E167" s="60" t="s">
        <v>33</v>
      </c>
      <c r="F167" s="182"/>
      <c r="G167" s="183">
        <v>613</v>
      </c>
      <c r="H167" s="222">
        <v>614</v>
      </c>
      <c r="I167" s="61">
        <f t="shared" ref="I167:I175" si="15">(H167/G167)*100</f>
        <v>100.16313213703098</v>
      </c>
      <c r="K167" s="154"/>
      <c r="L167" s="154"/>
      <c r="M167" s="154"/>
      <c r="N167" s="361"/>
    </row>
    <row r="168" spans="1:14" s="115" customFormat="1" x14ac:dyDescent="0.2">
      <c r="A168" s="393" t="s">
        <v>83</v>
      </c>
      <c r="B168" s="117"/>
      <c r="C168" s="120"/>
      <c r="D168" s="122"/>
      <c r="E168" s="113" t="s">
        <v>104</v>
      </c>
      <c r="F168" s="388">
        <v>0</v>
      </c>
      <c r="G168" s="388">
        <f>G164+G167</f>
        <v>1587</v>
      </c>
      <c r="H168" s="388">
        <f>H164+H167</f>
        <v>1588</v>
      </c>
      <c r="I168" s="121">
        <f t="shared" si="15"/>
        <v>100.06301197227474</v>
      </c>
      <c r="K168" s="456">
        <v>0</v>
      </c>
      <c r="L168" s="456">
        <v>1587245.23</v>
      </c>
      <c r="M168" s="456">
        <v>1588315.23</v>
      </c>
      <c r="N168" s="385"/>
    </row>
    <row r="169" spans="1:14" s="37" customFormat="1" ht="15" x14ac:dyDescent="0.25">
      <c r="A169" s="93" t="s">
        <v>84</v>
      </c>
      <c r="B169" s="104"/>
      <c r="C169" s="44">
        <v>1361</v>
      </c>
      <c r="D169" s="51"/>
      <c r="E169" s="60" t="s">
        <v>1</v>
      </c>
      <c r="F169" s="182">
        <v>1050</v>
      </c>
      <c r="G169" s="183">
        <v>1050</v>
      </c>
      <c r="H169" s="222">
        <v>934</v>
      </c>
      <c r="I169" s="73">
        <f t="shared" si="15"/>
        <v>88.952380952380949</v>
      </c>
      <c r="K169" s="154"/>
      <c r="L169" s="154"/>
      <c r="M169" s="154"/>
      <c r="N169" s="361"/>
    </row>
    <row r="170" spans="1:14" s="37" customFormat="1" ht="15" x14ac:dyDescent="0.25">
      <c r="A170" s="93" t="s">
        <v>84</v>
      </c>
      <c r="B170" s="104"/>
      <c r="C170" s="44">
        <v>4122</v>
      </c>
      <c r="D170" s="51"/>
      <c r="E170" s="60" t="s">
        <v>311</v>
      </c>
      <c r="F170" s="182"/>
      <c r="G170" s="183">
        <v>230</v>
      </c>
      <c r="H170" s="222">
        <v>230</v>
      </c>
      <c r="I170" s="73">
        <f t="shared" si="15"/>
        <v>100</v>
      </c>
      <c r="K170" s="154"/>
      <c r="L170" s="154"/>
      <c r="M170" s="154"/>
      <c r="N170" s="361"/>
    </row>
    <row r="171" spans="1:14" s="37" customFormat="1" ht="15" x14ac:dyDescent="0.25">
      <c r="A171" s="93" t="s">
        <v>84</v>
      </c>
      <c r="B171" s="104">
        <v>6172</v>
      </c>
      <c r="C171" s="44">
        <v>2211</v>
      </c>
      <c r="D171" s="51"/>
      <c r="E171" s="149" t="s">
        <v>108</v>
      </c>
      <c r="F171" s="182"/>
      <c r="G171" s="183"/>
      <c r="H171" s="222">
        <v>394</v>
      </c>
      <c r="I171" s="73">
        <v>0</v>
      </c>
      <c r="K171" s="154"/>
      <c r="L171" s="154"/>
      <c r="M171" s="154"/>
      <c r="N171" s="361"/>
    </row>
    <row r="172" spans="1:14" s="37" customFormat="1" ht="15" x14ac:dyDescent="0.25">
      <c r="A172" s="93" t="s">
        <v>84</v>
      </c>
      <c r="B172" s="104">
        <v>6172</v>
      </c>
      <c r="C172" s="44">
        <v>2212</v>
      </c>
      <c r="D172" s="51"/>
      <c r="E172" s="165" t="s">
        <v>109</v>
      </c>
      <c r="F172" s="182">
        <v>1600</v>
      </c>
      <c r="G172" s="183">
        <v>1600</v>
      </c>
      <c r="H172" s="222">
        <v>2071</v>
      </c>
      <c r="I172" s="73">
        <f t="shared" si="15"/>
        <v>129.4375</v>
      </c>
      <c r="K172" s="154"/>
      <c r="L172" s="154"/>
      <c r="M172" s="154"/>
      <c r="N172" s="361"/>
    </row>
    <row r="173" spans="1:14" s="37" customFormat="1" ht="15" x14ac:dyDescent="0.25">
      <c r="A173" s="93" t="s">
        <v>84</v>
      </c>
      <c r="B173" s="104">
        <v>6172</v>
      </c>
      <c r="C173" s="44">
        <v>2324</v>
      </c>
      <c r="D173" s="51"/>
      <c r="E173" s="165" t="s">
        <v>22</v>
      </c>
      <c r="F173" s="182"/>
      <c r="G173" s="183"/>
      <c r="H173" s="222">
        <v>468</v>
      </c>
      <c r="I173" s="73">
        <v>0</v>
      </c>
      <c r="K173" s="154"/>
      <c r="L173" s="154"/>
      <c r="M173" s="154"/>
      <c r="N173" s="361"/>
    </row>
    <row r="174" spans="1:14" s="37" customFormat="1" ht="15" x14ac:dyDescent="0.25">
      <c r="A174" s="93" t="s">
        <v>84</v>
      </c>
      <c r="B174" s="104">
        <v>6402</v>
      </c>
      <c r="C174" s="44">
        <v>2229</v>
      </c>
      <c r="D174" s="50"/>
      <c r="E174" s="54" t="s">
        <v>33</v>
      </c>
      <c r="F174" s="177"/>
      <c r="G174" s="183">
        <v>63</v>
      </c>
      <c r="H174" s="222">
        <v>853</v>
      </c>
      <c r="I174" s="73">
        <f t="shared" si="15"/>
        <v>1353.968253968254</v>
      </c>
      <c r="K174" s="154"/>
      <c r="L174" s="154"/>
      <c r="M174" s="154"/>
      <c r="N174" s="361"/>
    </row>
    <row r="175" spans="1:14" s="115" customFormat="1" x14ac:dyDescent="0.2">
      <c r="A175" s="393" t="s">
        <v>84</v>
      </c>
      <c r="B175" s="117"/>
      <c r="C175" s="120"/>
      <c r="D175" s="122"/>
      <c r="E175" s="113" t="s">
        <v>104</v>
      </c>
      <c r="F175" s="384">
        <f>F169+F172</f>
        <v>2650</v>
      </c>
      <c r="G175" s="384">
        <f>G169+G170+G172+G174</f>
        <v>2943</v>
      </c>
      <c r="H175" s="384">
        <f>H169+H170+H171+H172+H173+H174</f>
        <v>4950</v>
      </c>
      <c r="I175" s="121">
        <f t="shared" si="15"/>
        <v>168.19571865443424</v>
      </c>
      <c r="K175" s="456">
        <v>2650000</v>
      </c>
      <c r="L175" s="456">
        <v>2942616</v>
      </c>
      <c r="M175" s="456">
        <v>4949892.0199999996</v>
      </c>
      <c r="N175" s="385"/>
    </row>
    <row r="176" spans="1:14" s="37" customFormat="1" ht="15" x14ac:dyDescent="0.25">
      <c r="A176" s="93" t="s">
        <v>85</v>
      </c>
      <c r="B176" s="104"/>
      <c r="C176" s="44">
        <v>1361</v>
      </c>
      <c r="D176" s="51"/>
      <c r="E176" s="60" t="s">
        <v>1</v>
      </c>
      <c r="F176" s="177"/>
      <c r="G176" s="178"/>
      <c r="H176" s="223">
        <v>1</v>
      </c>
      <c r="I176" s="73">
        <v>0</v>
      </c>
      <c r="K176" s="154"/>
      <c r="L176" s="154"/>
      <c r="M176" s="154"/>
      <c r="N176" s="361"/>
    </row>
    <row r="177" spans="1:14" s="37" customFormat="1" ht="15" x14ac:dyDescent="0.25">
      <c r="A177" s="93" t="s">
        <v>85</v>
      </c>
      <c r="B177" s="104">
        <v>6172</v>
      </c>
      <c r="C177" s="44">
        <v>2132</v>
      </c>
      <c r="D177" s="51"/>
      <c r="E177" s="55" t="s">
        <v>38</v>
      </c>
      <c r="F177" s="177">
        <v>1596</v>
      </c>
      <c r="G177" s="187">
        <v>1594</v>
      </c>
      <c r="H177" s="224">
        <v>1594</v>
      </c>
      <c r="I177" s="73">
        <f>(H177/G177)*100</f>
        <v>100</v>
      </c>
      <c r="K177" s="154"/>
      <c r="L177" s="154"/>
      <c r="M177" s="154"/>
      <c r="N177" s="361"/>
    </row>
    <row r="178" spans="1:14" s="37" customFormat="1" ht="15" x14ac:dyDescent="0.25">
      <c r="A178" s="93" t="s">
        <v>85</v>
      </c>
      <c r="B178" s="104">
        <v>6172</v>
      </c>
      <c r="C178" s="44">
        <v>2211</v>
      </c>
      <c r="D178" s="51"/>
      <c r="E178" s="149" t="s">
        <v>108</v>
      </c>
      <c r="F178" s="177"/>
      <c r="G178" s="187"/>
      <c r="H178" s="224">
        <v>3</v>
      </c>
      <c r="I178" s="73">
        <v>0</v>
      </c>
      <c r="K178" s="154"/>
      <c r="L178" s="154"/>
      <c r="M178" s="154"/>
      <c r="N178" s="361"/>
    </row>
    <row r="179" spans="1:14" s="37" customFormat="1" ht="15" x14ac:dyDescent="0.25">
      <c r="A179" s="93" t="s">
        <v>85</v>
      </c>
      <c r="B179" s="104">
        <v>6172</v>
      </c>
      <c r="C179" s="44">
        <v>2212</v>
      </c>
      <c r="D179" s="51"/>
      <c r="E179" s="54" t="s">
        <v>109</v>
      </c>
      <c r="F179" s="177"/>
      <c r="G179" s="187"/>
      <c r="H179" s="224">
        <v>16</v>
      </c>
      <c r="I179" s="73">
        <v>0</v>
      </c>
      <c r="K179" s="154"/>
      <c r="L179" s="154"/>
      <c r="M179" s="154"/>
      <c r="N179" s="361"/>
    </row>
    <row r="180" spans="1:14" s="37" customFormat="1" ht="15" x14ac:dyDescent="0.25">
      <c r="A180" s="93" t="s">
        <v>85</v>
      </c>
      <c r="B180" s="104">
        <v>6172</v>
      </c>
      <c r="C180" s="44">
        <v>2324</v>
      </c>
      <c r="D180" s="51"/>
      <c r="E180" s="165" t="s">
        <v>22</v>
      </c>
      <c r="F180" s="177"/>
      <c r="G180" s="187"/>
      <c r="H180" s="224">
        <v>6</v>
      </c>
      <c r="I180" s="73">
        <v>0</v>
      </c>
      <c r="K180" s="154"/>
      <c r="L180" s="154"/>
      <c r="M180" s="154"/>
      <c r="N180" s="361"/>
    </row>
    <row r="181" spans="1:14" s="37" customFormat="1" ht="15" x14ac:dyDescent="0.25">
      <c r="A181" s="93" t="s">
        <v>85</v>
      </c>
      <c r="B181" s="104">
        <v>6402</v>
      </c>
      <c r="C181" s="44">
        <v>2229</v>
      </c>
      <c r="D181" s="51"/>
      <c r="E181" s="48" t="s">
        <v>33</v>
      </c>
      <c r="F181" s="177"/>
      <c r="G181" s="187">
        <v>40</v>
      </c>
      <c r="H181" s="224">
        <v>40</v>
      </c>
      <c r="I181" s="73">
        <f t="shared" ref="I181:I188" si="16">(H181/G181)*100</f>
        <v>100</v>
      </c>
      <c r="K181" s="154"/>
      <c r="L181" s="154"/>
      <c r="M181" s="154"/>
      <c r="N181" s="361"/>
    </row>
    <row r="182" spans="1:14" s="115" customFormat="1" x14ac:dyDescent="0.2">
      <c r="A182" s="393" t="s">
        <v>85</v>
      </c>
      <c r="B182" s="117"/>
      <c r="C182" s="120"/>
      <c r="D182" s="122"/>
      <c r="E182" s="113" t="s">
        <v>104</v>
      </c>
      <c r="F182" s="384">
        <f>F177</f>
        <v>1596</v>
      </c>
      <c r="G182" s="394">
        <f>G177+G181</f>
        <v>1634</v>
      </c>
      <c r="H182" s="395">
        <f>H176+H177+H178+H179+H181+H180</f>
        <v>1660</v>
      </c>
      <c r="I182" s="121">
        <f t="shared" si="16"/>
        <v>101.59118727050182</v>
      </c>
      <c r="K182" s="456">
        <v>1596000</v>
      </c>
      <c r="L182" s="456">
        <v>1633536.67</v>
      </c>
      <c r="M182" s="456">
        <v>1659856.67</v>
      </c>
      <c r="N182" s="385"/>
    </row>
    <row r="183" spans="1:14" s="37" customFormat="1" ht="15" x14ac:dyDescent="0.25">
      <c r="A183" s="93" t="s">
        <v>86</v>
      </c>
      <c r="B183" s="104"/>
      <c r="C183" s="44">
        <v>1361</v>
      </c>
      <c r="D183" s="51"/>
      <c r="E183" s="60" t="s">
        <v>1</v>
      </c>
      <c r="F183" s="177">
        <v>160</v>
      </c>
      <c r="G183" s="187">
        <v>160</v>
      </c>
      <c r="H183" s="224">
        <v>112</v>
      </c>
      <c r="I183" s="73">
        <f t="shared" si="16"/>
        <v>70</v>
      </c>
      <c r="K183" s="154"/>
      <c r="L183" s="154"/>
      <c r="M183" s="154"/>
      <c r="N183" s="361"/>
    </row>
    <row r="184" spans="1:14" s="37" customFormat="1" ht="15" x14ac:dyDescent="0.25">
      <c r="A184" s="93" t="s">
        <v>86</v>
      </c>
      <c r="B184" s="104">
        <v>6172</v>
      </c>
      <c r="C184" s="44">
        <v>2132</v>
      </c>
      <c r="D184" s="51"/>
      <c r="E184" s="55" t="s">
        <v>38</v>
      </c>
      <c r="F184" s="177">
        <v>36023</v>
      </c>
      <c r="G184" s="187">
        <v>36023</v>
      </c>
      <c r="H184" s="224">
        <v>36023</v>
      </c>
      <c r="I184" s="73">
        <f t="shared" si="16"/>
        <v>100</v>
      </c>
      <c r="K184" s="154"/>
      <c r="L184" s="154"/>
      <c r="M184" s="154"/>
      <c r="N184" s="361"/>
    </row>
    <row r="185" spans="1:14" s="37" customFormat="1" ht="15" x14ac:dyDescent="0.25">
      <c r="A185" s="93" t="s">
        <v>86</v>
      </c>
      <c r="B185" s="104">
        <v>6172</v>
      </c>
      <c r="C185" s="44">
        <v>2212</v>
      </c>
      <c r="D185" s="51"/>
      <c r="E185" s="54" t="s">
        <v>109</v>
      </c>
      <c r="F185" s="177"/>
      <c r="G185" s="187"/>
      <c r="H185" s="224">
        <v>43</v>
      </c>
      <c r="I185" s="73">
        <v>0</v>
      </c>
      <c r="K185" s="154"/>
      <c r="L185" s="154"/>
      <c r="M185" s="154"/>
      <c r="N185" s="361"/>
    </row>
    <row r="186" spans="1:14" s="37" customFormat="1" ht="15" x14ac:dyDescent="0.25">
      <c r="A186" s="93" t="s">
        <v>86</v>
      </c>
      <c r="B186" s="104">
        <v>6172</v>
      </c>
      <c r="C186" s="44">
        <v>2324</v>
      </c>
      <c r="D186" s="51"/>
      <c r="E186" s="165" t="s">
        <v>22</v>
      </c>
      <c r="F186" s="177"/>
      <c r="G186" s="187"/>
      <c r="H186" s="224">
        <v>8</v>
      </c>
      <c r="I186" s="73">
        <v>0</v>
      </c>
      <c r="K186" s="154"/>
      <c r="L186" s="154"/>
      <c r="M186" s="154"/>
      <c r="N186" s="361"/>
    </row>
    <row r="187" spans="1:14" s="37" customFormat="1" ht="15" x14ac:dyDescent="0.25">
      <c r="A187" s="93" t="s">
        <v>86</v>
      </c>
      <c r="B187" s="104">
        <v>6402</v>
      </c>
      <c r="C187" s="44">
        <v>2229</v>
      </c>
      <c r="D187" s="51"/>
      <c r="E187" s="48" t="s">
        <v>33</v>
      </c>
      <c r="F187" s="177"/>
      <c r="G187" s="187">
        <v>2671</v>
      </c>
      <c r="H187" s="224">
        <v>0</v>
      </c>
      <c r="I187" s="73">
        <f t="shared" si="16"/>
        <v>0</v>
      </c>
      <c r="K187" s="154"/>
      <c r="L187" s="154"/>
      <c r="M187" s="154"/>
      <c r="N187" s="361"/>
    </row>
    <row r="188" spans="1:14" s="115" customFormat="1" x14ac:dyDescent="0.2">
      <c r="A188" s="393" t="s">
        <v>86</v>
      </c>
      <c r="B188" s="117"/>
      <c r="C188" s="120"/>
      <c r="D188" s="122"/>
      <c r="E188" s="113" t="s">
        <v>104</v>
      </c>
      <c r="F188" s="384">
        <f>F183+F184+F187</f>
        <v>36183</v>
      </c>
      <c r="G188" s="384">
        <f>G183+G184+G187</f>
        <v>38854</v>
      </c>
      <c r="H188" s="384">
        <f>H183+H184+H185+H186</f>
        <v>36186</v>
      </c>
      <c r="I188" s="121">
        <f t="shared" si="16"/>
        <v>93.133268131981268</v>
      </c>
      <c r="K188" s="456">
        <v>36183000</v>
      </c>
      <c r="L188" s="456">
        <v>38853756.460000001</v>
      </c>
      <c r="M188" s="456">
        <v>36185648.600000001</v>
      </c>
      <c r="N188" s="385"/>
    </row>
    <row r="189" spans="1:14" s="37" customFormat="1" ht="15" x14ac:dyDescent="0.25">
      <c r="A189" s="93" t="s">
        <v>87</v>
      </c>
      <c r="B189" s="104"/>
      <c r="C189" s="44">
        <v>1361</v>
      </c>
      <c r="D189" s="51"/>
      <c r="E189" s="60" t="s">
        <v>1</v>
      </c>
      <c r="F189" s="177">
        <v>2</v>
      </c>
      <c r="G189" s="187"/>
      <c r="H189" s="224">
        <v>2</v>
      </c>
      <c r="I189" s="73">
        <v>0</v>
      </c>
      <c r="K189" s="154"/>
      <c r="L189" s="154"/>
      <c r="M189" s="154"/>
      <c r="N189" s="361"/>
    </row>
    <row r="190" spans="1:14" s="37" customFormat="1" ht="15" x14ac:dyDescent="0.25">
      <c r="A190" s="93" t="s">
        <v>87</v>
      </c>
      <c r="B190" s="104">
        <v>6172</v>
      </c>
      <c r="C190" s="44">
        <v>2212</v>
      </c>
      <c r="D190" s="45"/>
      <c r="E190" s="60" t="s">
        <v>16</v>
      </c>
      <c r="F190" s="177">
        <v>30</v>
      </c>
      <c r="G190" s="187">
        <v>30</v>
      </c>
      <c r="H190" s="224">
        <v>263</v>
      </c>
      <c r="I190" s="73">
        <f>(H190/G190)*100</f>
        <v>876.66666666666674</v>
      </c>
      <c r="K190" s="154"/>
      <c r="L190" s="154"/>
      <c r="M190" s="154"/>
      <c r="N190" s="361"/>
    </row>
    <row r="191" spans="1:14" s="37" customFormat="1" ht="15" x14ac:dyDescent="0.25">
      <c r="A191" s="93" t="s">
        <v>87</v>
      </c>
      <c r="B191" s="104">
        <v>6172</v>
      </c>
      <c r="C191" s="44">
        <v>2324</v>
      </c>
      <c r="D191" s="45"/>
      <c r="E191" s="165" t="s">
        <v>22</v>
      </c>
      <c r="F191" s="177"/>
      <c r="G191" s="187">
        <v>2</v>
      </c>
      <c r="H191" s="224">
        <v>17</v>
      </c>
      <c r="I191" s="73">
        <f>(H191/G191)*100</f>
        <v>850</v>
      </c>
      <c r="K191" s="154"/>
      <c r="L191" s="154"/>
      <c r="M191" s="154"/>
      <c r="N191" s="361"/>
    </row>
    <row r="192" spans="1:14" s="115" customFormat="1" x14ac:dyDescent="0.2">
      <c r="A192" s="393" t="s">
        <v>87</v>
      </c>
      <c r="B192" s="117"/>
      <c r="C192" s="120"/>
      <c r="D192" s="122"/>
      <c r="E192" s="113" t="s">
        <v>104</v>
      </c>
      <c r="F192" s="384">
        <f>F190+F189</f>
        <v>32</v>
      </c>
      <c r="G192" s="384">
        <f>G190+G191</f>
        <v>32</v>
      </c>
      <c r="H192" s="384">
        <f>H189+H190+H191</f>
        <v>282</v>
      </c>
      <c r="I192" s="121">
        <f>(H192/G192)*100</f>
        <v>881.25</v>
      </c>
      <c r="K192" s="456">
        <v>32000</v>
      </c>
      <c r="L192" s="456">
        <v>32000</v>
      </c>
      <c r="M192" s="456">
        <v>282250</v>
      </c>
      <c r="N192" s="385"/>
    </row>
    <row r="193" spans="1:14" s="37" customFormat="1" ht="15" x14ac:dyDescent="0.25">
      <c r="A193" s="93" t="s">
        <v>88</v>
      </c>
      <c r="B193" s="104">
        <v>4399</v>
      </c>
      <c r="C193" s="108">
        <v>2212</v>
      </c>
      <c r="D193" s="66"/>
      <c r="E193" s="54" t="s">
        <v>109</v>
      </c>
      <c r="F193" s="180"/>
      <c r="G193" s="189"/>
      <c r="H193" s="188">
        <v>64</v>
      </c>
      <c r="I193" s="73">
        <v>0</v>
      </c>
      <c r="K193" s="154"/>
      <c r="L193" s="154"/>
      <c r="M193" s="154"/>
      <c r="N193" s="361"/>
    </row>
    <row r="194" spans="1:14" s="37" customFormat="1" ht="15" x14ac:dyDescent="0.25">
      <c r="A194" s="93" t="s">
        <v>88</v>
      </c>
      <c r="B194" s="104">
        <v>6172</v>
      </c>
      <c r="C194" s="110">
        <v>2212</v>
      </c>
      <c r="D194" s="50"/>
      <c r="E194" s="60" t="s">
        <v>16</v>
      </c>
      <c r="F194" s="180"/>
      <c r="G194" s="190"/>
      <c r="H194" s="224">
        <v>404</v>
      </c>
      <c r="I194" s="73">
        <v>0</v>
      </c>
      <c r="K194" s="154"/>
      <c r="L194" s="154"/>
      <c r="M194" s="154"/>
      <c r="N194" s="361"/>
    </row>
    <row r="195" spans="1:14" s="37" customFormat="1" ht="15" x14ac:dyDescent="0.25">
      <c r="A195" s="93" t="s">
        <v>88</v>
      </c>
      <c r="B195" s="104">
        <v>6409</v>
      </c>
      <c r="C195" s="110">
        <v>2329</v>
      </c>
      <c r="D195" s="50"/>
      <c r="E195" s="60" t="s">
        <v>287</v>
      </c>
      <c r="F195" s="180"/>
      <c r="G195" s="190"/>
      <c r="H195" s="224">
        <v>300</v>
      </c>
      <c r="I195" s="73">
        <v>0</v>
      </c>
      <c r="K195" s="154"/>
      <c r="L195" s="154"/>
      <c r="M195" s="154"/>
      <c r="N195" s="361"/>
    </row>
    <row r="196" spans="1:14" s="115" customFormat="1" ht="15" thickBot="1" x14ac:dyDescent="0.25">
      <c r="A196" s="334" t="s">
        <v>88</v>
      </c>
      <c r="B196" s="335"/>
      <c r="C196" s="336"/>
      <c r="D196" s="337"/>
      <c r="E196" s="338" t="s">
        <v>104</v>
      </c>
      <c r="F196" s="396">
        <v>0</v>
      </c>
      <c r="G196" s="397">
        <v>0</v>
      </c>
      <c r="H196" s="398">
        <f>H193+H194+H195</f>
        <v>768</v>
      </c>
      <c r="I196" s="339">
        <v>0</v>
      </c>
      <c r="K196" s="456">
        <v>0</v>
      </c>
      <c r="L196" s="456">
        <v>0</v>
      </c>
      <c r="M196" s="456">
        <v>767990.92</v>
      </c>
      <c r="N196" s="385"/>
    </row>
    <row r="197" spans="1:14" s="158" customFormat="1" ht="15.75" thickTop="1" x14ac:dyDescent="0.25">
      <c r="A197" s="163"/>
      <c r="B197" s="164"/>
      <c r="C197" s="162"/>
      <c r="D197" s="166"/>
      <c r="E197" s="157"/>
      <c r="F197" s="447">
        <f>F196+F192+F188+F182+F175+F168+F163</f>
        <v>40662</v>
      </c>
      <c r="G197" s="447">
        <f>G196+G192+G188+G182+G175+G168+G163</f>
        <v>5336695</v>
      </c>
      <c r="H197" s="447">
        <f>H196+H192+H188+H182+H175+H168+H163</f>
        <v>5337409</v>
      </c>
      <c r="I197" s="332"/>
      <c r="K197" s="227">
        <f>K163+K168+K175+K182+K188+K192+K196</f>
        <v>40662000</v>
      </c>
      <c r="L197" s="227">
        <f>L163+L168+L175+L182+L188+L192+L196</f>
        <v>5336694036.0099993</v>
      </c>
      <c r="M197" s="227">
        <f>M163+M168+M175+M182+M188+M192+M196</f>
        <v>5337409110.210001</v>
      </c>
      <c r="N197" s="386"/>
    </row>
    <row r="198" spans="1:14" s="158" customFormat="1" x14ac:dyDescent="0.2">
      <c r="A198" s="163"/>
      <c r="B198" s="164"/>
      <c r="C198" s="162"/>
      <c r="D198" s="166"/>
      <c r="E198" s="157"/>
      <c r="G198" s="229"/>
      <c r="H198" s="229"/>
      <c r="I198" s="332"/>
      <c r="K198" s="227"/>
      <c r="L198" s="227"/>
      <c r="M198" s="227"/>
      <c r="N198" s="386"/>
    </row>
    <row r="199" spans="1:14" s="158" customFormat="1" ht="13.5" customHeight="1" x14ac:dyDescent="0.2">
      <c r="A199" s="163"/>
      <c r="B199" s="164"/>
      <c r="C199" s="162"/>
      <c r="D199" s="166"/>
      <c r="E199" s="157"/>
      <c r="G199" s="229"/>
      <c r="H199" s="229"/>
      <c r="I199" s="332"/>
      <c r="K199" s="227"/>
      <c r="L199" s="227"/>
      <c r="M199" s="227"/>
      <c r="N199" s="386"/>
    </row>
    <row r="200" spans="1:14" ht="13.5" customHeight="1" thickBot="1" x14ac:dyDescent="0.25">
      <c r="A200" s="95"/>
      <c r="G200" s="30"/>
      <c r="I200" s="32" t="s">
        <v>0</v>
      </c>
    </row>
    <row r="201" spans="1:14" s="37" customFormat="1" ht="20.25" customHeight="1" thickTop="1" thickBot="1" x14ac:dyDescent="0.25">
      <c r="A201" s="74" t="s">
        <v>73</v>
      </c>
      <c r="B201" s="72" t="s">
        <v>13</v>
      </c>
      <c r="C201" s="33" t="s">
        <v>2</v>
      </c>
      <c r="D201" s="450" t="s">
        <v>326</v>
      </c>
      <c r="E201" s="34" t="s">
        <v>3</v>
      </c>
      <c r="F201" s="35" t="s">
        <v>4</v>
      </c>
      <c r="G201" s="35" t="s">
        <v>5</v>
      </c>
      <c r="H201" s="35" t="s">
        <v>18</v>
      </c>
      <c r="I201" s="36" t="s">
        <v>19</v>
      </c>
      <c r="K201" s="154"/>
      <c r="L201" s="154"/>
      <c r="M201" s="154"/>
      <c r="N201" s="361"/>
    </row>
    <row r="202" spans="1:14" s="38" customFormat="1" ht="12.75" thickTop="1" x14ac:dyDescent="0.2">
      <c r="A202" s="90">
        <v>1</v>
      </c>
      <c r="B202" s="85">
        <v>2</v>
      </c>
      <c r="C202" s="86">
        <v>3</v>
      </c>
      <c r="D202" s="85">
        <v>4</v>
      </c>
      <c r="E202" s="86">
        <v>5</v>
      </c>
      <c r="F202" s="85">
        <v>6</v>
      </c>
      <c r="G202" s="87">
        <v>7</v>
      </c>
      <c r="H202" s="88">
        <v>8</v>
      </c>
      <c r="I202" s="89" t="s">
        <v>74</v>
      </c>
      <c r="J202" s="37"/>
      <c r="K202" s="213"/>
      <c r="L202" s="213"/>
      <c r="M202" s="213"/>
      <c r="N202" s="362"/>
    </row>
    <row r="203" spans="1:14" s="158" customFormat="1" ht="15" x14ac:dyDescent="0.2">
      <c r="A203" s="512" t="s">
        <v>180</v>
      </c>
      <c r="B203" s="327"/>
      <c r="C203" s="513">
        <v>2420</v>
      </c>
      <c r="D203" s="156"/>
      <c r="E203" s="511" t="s">
        <v>312</v>
      </c>
      <c r="F203" s="228"/>
      <c r="G203" s="231">
        <v>400</v>
      </c>
      <c r="H203" s="232">
        <v>0</v>
      </c>
      <c r="I203" s="326">
        <v>0</v>
      </c>
      <c r="K203" s="227"/>
      <c r="L203" s="227"/>
      <c r="M203" s="227"/>
      <c r="N203" s="386"/>
    </row>
    <row r="204" spans="1:14" s="158" customFormat="1" ht="15" x14ac:dyDescent="0.2">
      <c r="A204" s="494"/>
      <c r="B204" s="327"/>
      <c r="C204" s="496"/>
      <c r="D204" s="156"/>
      <c r="E204" s="502"/>
      <c r="F204" s="228"/>
      <c r="G204" s="231"/>
      <c r="H204" s="232"/>
      <c r="I204" s="326"/>
      <c r="K204" s="227"/>
      <c r="L204" s="227"/>
      <c r="M204" s="227"/>
      <c r="N204" s="386"/>
    </row>
    <row r="205" spans="1:14" s="37" customFormat="1" ht="15" x14ac:dyDescent="0.25">
      <c r="A205" s="93" t="s">
        <v>180</v>
      </c>
      <c r="B205" s="104">
        <v>3349</v>
      </c>
      <c r="C205" s="110">
        <v>2111</v>
      </c>
      <c r="D205" s="50"/>
      <c r="E205" s="289" t="s">
        <v>107</v>
      </c>
      <c r="F205" s="180"/>
      <c r="G205" s="190"/>
      <c r="H205" s="224">
        <v>36</v>
      </c>
      <c r="I205" s="73">
        <v>0</v>
      </c>
      <c r="K205" s="154"/>
      <c r="L205" s="154"/>
      <c r="M205" s="154"/>
      <c r="N205" s="361"/>
    </row>
    <row r="206" spans="1:14" s="37" customFormat="1" ht="15" x14ac:dyDescent="0.25">
      <c r="A206" s="93" t="s">
        <v>180</v>
      </c>
      <c r="B206" s="104">
        <v>6409</v>
      </c>
      <c r="C206" s="110">
        <v>2111</v>
      </c>
      <c r="D206" s="50"/>
      <c r="E206" s="289" t="s">
        <v>107</v>
      </c>
      <c r="F206" s="180"/>
      <c r="G206" s="231">
        <v>500</v>
      </c>
      <c r="H206" s="224">
        <v>605</v>
      </c>
      <c r="I206" s="73">
        <f t="shared" ref="I206" si="17">(H206/G206)*100</f>
        <v>121</v>
      </c>
      <c r="K206" s="154"/>
      <c r="L206" s="154"/>
      <c r="M206" s="154"/>
      <c r="N206" s="361"/>
    </row>
    <row r="207" spans="1:14" s="115" customFormat="1" x14ac:dyDescent="0.2">
      <c r="A207" s="393" t="s">
        <v>180</v>
      </c>
      <c r="B207" s="117"/>
      <c r="C207" s="120"/>
      <c r="D207" s="122"/>
      <c r="E207" s="113" t="s">
        <v>104</v>
      </c>
      <c r="F207" s="384">
        <v>0</v>
      </c>
      <c r="G207" s="395">
        <f>G203+G206</f>
        <v>900</v>
      </c>
      <c r="H207" s="399">
        <f>H205+H206</f>
        <v>641</v>
      </c>
      <c r="I207" s="121">
        <v>0</v>
      </c>
      <c r="K207" s="456">
        <v>0</v>
      </c>
      <c r="L207" s="456">
        <v>900100</v>
      </c>
      <c r="M207" s="456">
        <v>641300</v>
      </c>
      <c r="N207" s="457"/>
    </row>
    <row r="208" spans="1:14" s="158" customFormat="1" ht="15" x14ac:dyDescent="0.25">
      <c r="A208" s="159" t="s">
        <v>138</v>
      </c>
      <c r="B208" s="329">
        <v>3122</v>
      </c>
      <c r="C208" s="160">
        <v>2212</v>
      </c>
      <c r="D208" s="156"/>
      <c r="E208" s="60" t="s">
        <v>16</v>
      </c>
      <c r="F208" s="228"/>
      <c r="G208" s="229"/>
      <c r="H208" s="232">
        <v>53</v>
      </c>
      <c r="I208" s="161">
        <v>0</v>
      </c>
      <c r="K208" s="227"/>
      <c r="L208" s="227"/>
      <c r="M208" s="227"/>
      <c r="N208" s="386"/>
    </row>
    <row r="209" spans="1:14" s="115" customFormat="1" x14ac:dyDescent="0.2">
      <c r="A209" s="393" t="s">
        <v>138</v>
      </c>
      <c r="B209" s="117"/>
      <c r="C209" s="120"/>
      <c r="D209" s="122"/>
      <c r="E209" s="113" t="s">
        <v>104</v>
      </c>
      <c r="F209" s="384">
        <v>0</v>
      </c>
      <c r="G209" s="394">
        <v>0</v>
      </c>
      <c r="H209" s="395">
        <f>H208</f>
        <v>53</v>
      </c>
      <c r="I209" s="121">
        <v>0</v>
      </c>
      <c r="K209" s="458">
        <v>0</v>
      </c>
      <c r="L209" s="458">
        <v>0</v>
      </c>
      <c r="M209" s="458">
        <v>52956.61</v>
      </c>
      <c r="N209" s="385"/>
    </row>
    <row r="210" spans="1:14" s="37" customFormat="1" ht="15" x14ac:dyDescent="0.25">
      <c r="A210" s="93" t="s">
        <v>89</v>
      </c>
      <c r="B210" s="104">
        <v>6409</v>
      </c>
      <c r="C210" s="44">
        <v>2328</v>
      </c>
      <c r="D210" s="51"/>
      <c r="E210" s="43" t="s">
        <v>14</v>
      </c>
      <c r="F210" s="177"/>
      <c r="G210" s="187"/>
      <c r="H210" s="224">
        <v>1</v>
      </c>
      <c r="I210" s="61">
        <v>0</v>
      </c>
      <c r="K210" s="136"/>
      <c r="L210" s="136"/>
      <c r="M210" s="136"/>
      <c r="N210" s="361"/>
    </row>
    <row r="211" spans="1:14" s="115" customFormat="1" x14ac:dyDescent="0.2">
      <c r="A211" s="393" t="s">
        <v>89</v>
      </c>
      <c r="B211" s="117"/>
      <c r="C211" s="120"/>
      <c r="D211" s="122"/>
      <c r="E211" s="113" t="s">
        <v>104</v>
      </c>
      <c r="F211" s="384">
        <v>0</v>
      </c>
      <c r="G211" s="395">
        <v>0</v>
      </c>
      <c r="H211" s="399">
        <f>H210</f>
        <v>1</v>
      </c>
      <c r="I211" s="116">
        <v>0</v>
      </c>
      <c r="K211" s="458">
        <v>0</v>
      </c>
      <c r="L211" s="458">
        <v>0</v>
      </c>
      <c r="M211" s="458">
        <v>920.89</v>
      </c>
      <c r="N211" s="385"/>
    </row>
    <row r="212" spans="1:14" s="158" customFormat="1" ht="15" x14ac:dyDescent="0.25">
      <c r="A212" s="330" t="s">
        <v>90</v>
      </c>
      <c r="B212" s="323"/>
      <c r="C212" s="331">
        <v>4221</v>
      </c>
      <c r="D212" s="156"/>
      <c r="E212" s="328" t="s">
        <v>313</v>
      </c>
      <c r="F212" s="228"/>
      <c r="G212" s="229"/>
      <c r="H212" s="232">
        <v>180</v>
      </c>
      <c r="I212" s="161">
        <v>0</v>
      </c>
      <c r="K212" s="297"/>
      <c r="L212" s="297"/>
      <c r="M212" s="297"/>
      <c r="N212" s="386"/>
    </row>
    <row r="213" spans="1:14" s="37" customFormat="1" ht="15" x14ac:dyDescent="0.25">
      <c r="A213" s="93" t="s">
        <v>90</v>
      </c>
      <c r="B213" s="104"/>
      <c r="C213" s="109">
        <v>4223</v>
      </c>
      <c r="D213" s="66"/>
      <c r="E213" s="53" t="s">
        <v>72</v>
      </c>
      <c r="F213" s="177"/>
      <c r="G213" s="177">
        <v>242557</v>
      </c>
      <c r="H213" s="177">
        <v>126680</v>
      </c>
      <c r="I213" s="61">
        <f t="shared" ref="I213:I215" si="18">(H213/G213)*100</f>
        <v>52.226899244301336</v>
      </c>
      <c r="K213" s="154"/>
      <c r="L213" s="154"/>
      <c r="M213" s="154"/>
      <c r="N213" s="361"/>
    </row>
    <row r="214" spans="1:14" s="37" customFormat="1" ht="15" x14ac:dyDescent="0.25">
      <c r="A214" s="93" t="s">
        <v>90</v>
      </c>
      <c r="B214" s="104"/>
      <c r="C214" s="44"/>
      <c r="D214" s="66" t="s">
        <v>208</v>
      </c>
      <c r="E214" s="152" t="s">
        <v>322</v>
      </c>
      <c r="F214" s="177"/>
      <c r="G214" s="185">
        <v>242557</v>
      </c>
      <c r="H214" s="233">
        <v>126680</v>
      </c>
      <c r="I214" s="62">
        <f t="shared" si="18"/>
        <v>52.226899244301336</v>
      </c>
      <c r="K214" s="154"/>
      <c r="L214" s="154"/>
      <c r="M214" s="154"/>
      <c r="N214" s="361"/>
    </row>
    <row r="215" spans="1:14" s="115" customFormat="1" x14ac:dyDescent="0.2">
      <c r="A215" s="393" t="s">
        <v>90</v>
      </c>
      <c r="B215" s="117"/>
      <c r="C215" s="120"/>
      <c r="D215" s="122"/>
      <c r="E215" s="113" t="s">
        <v>104</v>
      </c>
      <c r="F215" s="384">
        <v>0</v>
      </c>
      <c r="G215" s="384">
        <f>G213</f>
        <v>242557</v>
      </c>
      <c r="H215" s="384">
        <f>H213+H212</f>
        <v>126860</v>
      </c>
      <c r="I215" s="116">
        <f t="shared" si="18"/>
        <v>52.301108605399968</v>
      </c>
      <c r="K215" s="456">
        <v>0</v>
      </c>
      <c r="L215" s="456">
        <v>242556654.13</v>
      </c>
      <c r="M215" s="456">
        <v>126860516.76000001</v>
      </c>
      <c r="N215" s="385"/>
    </row>
    <row r="216" spans="1:14" s="37" customFormat="1" ht="15" x14ac:dyDescent="0.25">
      <c r="A216" s="93" t="s">
        <v>91</v>
      </c>
      <c r="B216" s="104"/>
      <c r="C216" s="110">
        <v>4213</v>
      </c>
      <c r="D216" s="51"/>
      <c r="E216" s="53" t="s">
        <v>123</v>
      </c>
      <c r="F216" s="177"/>
      <c r="G216" s="183">
        <v>11993</v>
      </c>
      <c r="H216" s="182">
        <v>11281</v>
      </c>
      <c r="I216" s="42">
        <f t="shared" ref="I216:I220" si="19">(H216/G216)*100</f>
        <v>94.063203535395644</v>
      </c>
      <c r="K216" s="154"/>
      <c r="L216" s="154"/>
      <c r="M216" s="154"/>
      <c r="N216" s="361"/>
    </row>
    <row r="217" spans="1:14" s="37" customFormat="1" ht="15" x14ac:dyDescent="0.25">
      <c r="A217" s="93" t="s">
        <v>91</v>
      </c>
      <c r="B217" s="104"/>
      <c r="C217" s="110"/>
      <c r="D217" s="51" t="s">
        <v>314</v>
      </c>
      <c r="E217" s="152" t="s">
        <v>320</v>
      </c>
      <c r="F217" s="177"/>
      <c r="G217" s="184">
        <v>11993</v>
      </c>
      <c r="H217" s="170">
        <v>11281</v>
      </c>
      <c r="I217" s="62">
        <f t="shared" si="19"/>
        <v>94.063203535395644</v>
      </c>
      <c r="K217" s="154"/>
      <c r="L217" s="154"/>
      <c r="M217" s="154"/>
      <c r="N217" s="361"/>
    </row>
    <row r="218" spans="1:14" s="37" customFormat="1" ht="15" x14ac:dyDescent="0.25">
      <c r="A218" s="93" t="s">
        <v>91</v>
      </c>
      <c r="B218" s="104"/>
      <c r="C218" s="44">
        <v>4216</v>
      </c>
      <c r="D218" s="45"/>
      <c r="E218" s="52" t="s">
        <v>121</v>
      </c>
      <c r="F218" s="177"/>
      <c r="G218" s="177">
        <v>203882</v>
      </c>
      <c r="H218" s="177">
        <v>191765</v>
      </c>
      <c r="I218" s="17">
        <f t="shared" si="19"/>
        <v>94.056856416947056</v>
      </c>
      <c r="K218" s="154"/>
      <c r="L218" s="154"/>
      <c r="M218" s="154"/>
      <c r="N218" s="361"/>
    </row>
    <row r="219" spans="1:14" s="37" customFormat="1" ht="12.75" customHeight="1" x14ac:dyDescent="0.25">
      <c r="A219" s="93" t="s">
        <v>91</v>
      </c>
      <c r="B219" s="104"/>
      <c r="C219" s="44"/>
      <c r="D219" s="51" t="s">
        <v>316</v>
      </c>
      <c r="E219" s="279" t="s">
        <v>319</v>
      </c>
      <c r="F219" s="177"/>
      <c r="G219" s="170">
        <v>203882</v>
      </c>
      <c r="H219" s="170">
        <v>191765</v>
      </c>
      <c r="I219" s="62">
        <f t="shared" si="19"/>
        <v>94.056856416947056</v>
      </c>
      <c r="K219" s="154"/>
      <c r="L219" s="154"/>
      <c r="M219" s="154"/>
      <c r="N219" s="361"/>
    </row>
    <row r="220" spans="1:14" s="115" customFormat="1" x14ac:dyDescent="0.2">
      <c r="A220" s="393" t="s">
        <v>91</v>
      </c>
      <c r="B220" s="117"/>
      <c r="C220" s="120"/>
      <c r="D220" s="122"/>
      <c r="E220" s="113" t="s">
        <v>104</v>
      </c>
      <c r="F220" s="384">
        <v>0</v>
      </c>
      <c r="G220" s="384">
        <f>G216+G218</f>
        <v>215875</v>
      </c>
      <c r="H220" s="384">
        <f>H216+H218</f>
        <v>203046</v>
      </c>
      <c r="I220" s="116">
        <f t="shared" si="19"/>
        <v>94.057209033005208</v>
      </c>
      <c r="K220" s="456">
        <v>0</v>
      </c>
      <c r="L220" s="456">
        <v>215875478.25999999</v>
      </c>
      <c r="M220" s="456">
        <v>203045608.75</v>
      </c>
      <c r="N220" s="457"/>
    </row>
    <row r="221" spans="1:14" s="37" customFormat="1" ht="15" x14ac:dyDescent="0.25">
      <c r="A221" s="93" t="s">
        <v>93</v>
      </c>
      <c r="B221" s="104">
        <v>3299</v>
      </c>
      <c r="C221" s="82">
        <v>2141</v>
      </c>
      <c r="D221" s="41"/>
      <c r="E221" s="55" t="s">
        <v>11</v>
      </c>
      <c r="F221" s="182"/>
      <c r="G221" s="183"/>
      <c r="H221" s="222">
        <v>15</v>
      </c>
      <c r="I221" s="61">
        <v>0</v>
      </c>
      <c r="K221" s="154"/>
      <c r="L221" s="154"/>
      <c r="M221" s="154"/>
      <c r="N221" s="361"/>
    </row>
    <row r="222" spans="1:14" s="37" customFormat="1" ht="15" x14ac:dyDescent="0.25">
      <c r="A222" s="93" t="s">
        <v>93</v>
      </c>
      <c r="B222" s="104">
        <v>3299</v>
      </c>
      <c r="C222" s="44">
        <v>2212</v>
      </c>
      <c r="D222" s="45"/>
      <c r="E222" s="54" t="s">
        <v>109</v>
      </c>
      <c r="F222" s="182"/>
      <c r="G222" s="183">
        <v>110</v>
      </c>
      <c r="H222" s="222">
        <v>110</v>
      </c>
      <c r="I222" s="61">
        <f>(H222/G222)*100</f>
        <v>100</v>
      </c>
      <c r="K222" s="154"/>
      <c r="L222" s="154"/>
      <c r="M222" s="154"/>
      <c r="N222" s="361"/>
    </row>
    <row r="223" spans="1:14" s="115" customFormat="1" x14ac:dyDescent="0.2">
      <c r="A223" s="393" t="s">
        <v>93</v>
      </c>
      <c r="B223" s="117"/>
      <c r="C223" s="120"/>
      <c r="D223" s="122"/>
      <c r="E223" s="113" t="s">
        <v>104</v>
      </c>
      <c r="F223" s="400">
        <v>0</v>
      </c>
      <c r="G223" s="400">
        <f>G221+G222</f>
        <v>110</v>
      </c>
      <c r="H223" s="400">
        <f>H221+H222</f>
        <v>125</v>
      </c>
      <c r="I223" s="116">
        <f>(H223/G223)*100</f>
        <v>113.63636363636364</v>
      </c>
      <c r="K223" s="456">
        <v>0</v>
      </c>
      <c r="L223" s="456">
        <v>110333.72</v>
      </c>
      <c r="M223" s="456">
        <v>124845.54</v>
      </c>
      <c r="N223" s="385"/>
    </row>
    <row r="224" spans="1:14" s="37" customFormat="1" ht="15" x14ac:dyDescent="0.25">
      <c r="A224" s="93" t="s">
        <v>94</v>
      </c>
      <c r="B224" s="104">
        <v>3299</v>
      </c>
      <c r="C224" s="82">
        <v>2141</v>
      </c>
      <c r="D224" s="41"/>
      <c r="E224" s="55" t="s">
        <v>11</v>
      </c>
      <c r="F224" s="182"/>
      <c r="G224" s="183"/>
      <c r="H224" s="222">
        <v>6</v>
      </c>
      <c r="I224" s="61">
        <v>0</v>
      </c>
      <c r="K224" s="154"/>
      <c r="L224" s="154"/>
      <c r="M224" s="154"/>
      <c r="N224" s="361"/>
    </row>
    <row r="225" spans="1:14" s="37" customFormat="1" ht="15" x14ac:dyDescent="0.25">
      <c r="A225" s="93" t="s">
        <v>94</v>
      </c>
      <c r="B225" s="104">
        <v>3299</v>
      </c>
      <c r="C225" s="44">
        <v>2212</v>
      </c>
      <c r="D225" s="45"/>
      <c r="E225" s="54" t="s">
        <v>109</v>
      </c>
      <c r="F225" s="182"/>
      <c r="G225" s="183">
        <v>77</v>
      </c>
      <c r="H225" s="222">
        <v>77</v>
      </c>
      <c r="I225" s="61">
        <f>(H225/G225)*100</f>
        <v>100</v>
      </c>
      <c r="K225" s="154"/>
      <c r="L225" s="154"/>
      <c r="M225" s="154"/>
      <c r="N225" s="361"/>
    </row>
    <row r="226" spans="1:14" s="115" customFormat="1" x14ac:dyDescent="0.2">
      <c r="A226" s="393" t="s">
        <v>94</v>
      </c>
      <c r="B226" s="117"/>
      <c r="C226" s="120"/>
      <c r="D226" s="122"/>
      <c r="E226" s="113" t="s">
        <v>104</v>
      </c>
      <c r="F226" s="388">
        <v>0</v>
      </c>
      <c r="G226" s="388">
        <f>G224+G225</f>
        <v>77</v>
      </c>
      <c r="H226" s="388">
        <f>H224+H225</f>
        <v>83</v>
      </c>
      <c r="I226" s="116">
        <f>(H226/G226)*100</f>
        <v>107.79220779220779</v>
      </c>
      <c r="K226" s="456">
        <v>0</v>
      </c>
      <c r="L226" s="456">
        <v>76820.59</v>
      </c>
      <c r="M226" s="456">
        <v>83066.350000000006</v>
      </c>
      <c r="N226" s="385"/>
    </row>
    <row r="227" spans="1:14" s="158" customFormat="1" ht="15" x14ac:dyDescent="0.25">
      <c r="A227" s="159" t="s">
        <v>92</v>
      </c>
      <c r="B227" s="329">
        <v>3299</v>
      </c>
      <c r="C227" s="331">
        <v>2123</v>
      </c>
      <c r="D227" s="156"/>
      <c r="E227" s="60" t="s">
        <v>209</v>
      </c>
      <c r="F227" s="239"/>
      <c r="G227" s="401"/>
      <c r="H227" s="222">
        <v>576</v>
      </c>
      <c r="I227" s="161">
        <v>0</v>
      </c>
      <c r="K227" s="227"/>
      <c r="L227" s="227"/>
      <c r="M227" s="227"/>
      <c r="N227" s="386"/>
    </row>
    <row r="228" spans="1:14" s="37" customFormat="1" ht="15" x14ac:dyDescent="0.25">
      <c r="A228" s="93" t="s">
        <v>92</v>
      </c>
      <c r="B228" s="104">
        <v>3299</v>
      </c>
      <c r="C228" s="82">
        <v>2141</v>
      </c>
      <c r="D228" s="41"/>
      <c r="E228" s="55" t="s">
        <v>11</v>
      </c>
      <c r="F228" s="182"/>
      <c r="G228" s="183"/>
      <c r="H228" s="222">
        <v>13</v>
      </c>
      <c r="I228" s="61">
        <v>0</v>
      </c>
      <c r="K228" s="154"/>
      <c r="L228" s="154"/>
      <c r="M228" s="154"/>
      <c r="N228" s="361"/>
    </row>
    <row r="229" spans="1:14" s="37" customFormat="1" ht="15" x14ac:dyDescent="0.25">
      <c r="A229" s="93" t="s">
        <v>92</v>
      </c>
      <c r="B229" s="104">
        <v>3299</v>
      </c>
      <c r="C229" s="44">
        <v>2212</v>
      </c>
      <c r="D229" s="45"/>
      <c r="E229" s="54" t="s">
        <v>109</v>
      </c>
      <c r="F229" s="182"/>
      <c r="G229" s="183">
        <v>576</v>
      </c>
      <c r="H229" s="222"/>
      <c r="I229" s="61">
        <f t="shared" ref="I229:I236" si="20">(H229/G229)*100</f>
        <v>0</v>
      </c>
      <c r="K229" s="154"/>
      <c r="L229" s="154"/>
      <c r="M229" s="154"/>
      <c r="N229" s="361"/>
    </row>
    <row r="230" spans="1:14" s="37" customFormat="1" ht="15" x14ac:dyDescent="0.25">
      <c r="A230" s="93" t="s">
        <v>92</v>
      </c>
      <c r="B230" s="104">
        <v>6402</v>
      </c>
      <c r="C230" s="44">
        <v>2229</v>
      </c>
      <c r="D230" s="45"/>
      <c r="E230" s="48" t="s">
        <v>33</v>
      </c>
      <c r="F230" s="182"/>
      <c r="G230" s="183"/>
      <c r="H230" s="222">
        <v>737</v>
      </c>
      <c r="I230" s="61">
        <v>0</v>
      </c>
      <c r="K230" s="154"/>
      <c r="L230" s="154"/>
      <c r="M230" s="154"/>
      <c r="N230" s="361"/>
    </row>
    <row r="231" spans="1:14" s="37" customFormat="1" ht="15" x14ac:dyDescent="0.25">
      <c r="A231" s="493" t="s">
        <v>92</v>
      </c>
      <c r="B231" s="499">
        <v>6409</v>
      </c>
      <c r="C231" s="495">
        <v>2222</v>
      </c>
      <c r="D231" s="45"/>
      <c r="E231" s="497" t="s">
        <v>211</v>
      </c>
      <c r="F231" s="182"/>
      <c r="G231" s="182"/>
      <c r="H231" s="183"/>
      <c r="I231" s="61"/>
      <c r="K231" s="154"/>
      <c r="L231" s="154"/>
      <c r="M231" s="154"/>
      <c r="N231" s="361"/>
    </row>
    <row r="232" spans="1:14" s="37" customFormat="1" ht="15" customHeight="1" x14ac:dyDescent="0.25">
      <c r="A232" s="494"/>
      <c r="B232" s="500"/>
      <c r="C232" s="496"/>
      <c r="D232" s="45"/>
      <c r="E232" s="498"/>
      <c r="F232" s="182"/>
      <c r="G232" s="182"/>
      <c r="H232" s="183">
        <v>1</v>
      </c>
      <c r="I232" s="61">
        <v>0</v>
      </c>
      <c r="K232" s="154"/>
      <c r="L232" s="154"/>
      <c r="M232" s="154"/>
      <c r="N232" s="361"/>
    </row>
    <row r="233" spans="1:14" s="115" customFormat="1" x14ac:dyDescent="0.2">
      <c r="A233" s="393" t="s">
        <v>92</v>
      </c>
      <c r="B233" s="117"/>
      <c r="C233" s="120"/>
      <c r="D233" s="122"/>
      <c r="E233" s="113" t="s">
        <v>104</v>
      </c>
      <c r="F233" s="388">
        <v>0</v>
      </c>
      <c r="G233" s="388">
        <f>G228+G229+G230</f>
        <v>576</v>
      </c>
      <c r="H233" s="402">
        <f>H228+H229+H230+H227+H232</f>
        <v>1327</v>
      </c>
      <c r="I233" s="116">
        <f t="shared" si="20"/>
        <v>230.38194444444446</v>
      </c>
      <c r="K233" s="456">
        <v>0</v>
      </c>
      <c r="L233" s="456">
        <v>576358.89</v>
      </c>
      <c r="M233" s="456">
        <v>1327378.3400000001</v>
      </c>
      <c r="N233" s="385"/>
    </row>
    <row r="234" spans="1:14" s="158" customFormat="1" ht="15" x14ac:dyDescent="0.25">
      <c r="A234" s="252" t="s">
        <v>95</v>
      </c>
      <c r="B234" s="253"/>
      <c r="C234" s="254">
        <v>4113</v>
      </c>
      <c r="D234" s="255"/>
      <c r="E234" s="256" t="s">
        <v>60</v>
      </c>
      <c r="F234" s="182"/>
      <c r="G234" s="182">
        <v>207</v>
      </c>
      <c r="H234" s="182">
        <v>207</v>
      </c>
      <c r="I234" s="161">
        <f t="shared" si="20"/>
        <v>100</v>
      </c>
      <c r="K234" s="227"/>
      <c r="L234" s="227"/>
      <c r="M234" s="227"/>
      <c r="N234" s="386"/>
    </row>
    <row r="235" spans="1:14" s="158" customFormat="1" ht="15" x14ac:dyDescent="0.25">
      <c r="A235" s="252" t="s">
        <v>95</v>
      </c>
      <c r="B235" s="253"/>
      <c r="C235" s="254"/>
      <c r="D235" s="257" t="s">
        <v>252</v>
      </c>
      <c r="E235" s="403" t="s">
        <v>61</v>
      </c>
      <c r="F235" s="182"/>
      <c r="G235" s="184">
        <v>207</v>
      </c>
      <c r="H235" s="234">
        <v>207</v>
      </c>
      <c r="I235" s="204">
        <f t="shared" si="20"/>
        <v>100</v>
      </c>
      <c r="K235" s="227"/>
      <c r="L235" s="227"/>
      <c r="M235" s="227"/>
      <c r="N235" s="386"/>
    </row>
    <row r="236" spans="1:14" s="129" customFormat="1" ht="15" x14ac:dyDescent="0.25">
      <c r="A236" s="93" t="s">
        <v>95</v>
      </c>
      <c r="B236" s="104"/>
      <c r="C236" s="110">
        <v>4116</v>
      </c>
      <c r="D236" s="51"/>
      <c r="E236" s="48" t="s">
        <v>288</v>
      </c>
      <c r="F236" s="182"/>
      <c r="G236" s="182">
        <f>G237+G238+G239+G240+G241</f>
        <v>9486</v>
      </c>
      <c r="H236" s="182">
        <f>H237+H238+H239+H240+H241</f>
        <v>36780</v>
      </c>
      <c r="I236" s="61">
        <f t="shared" si="20"/>
        <v>387.72928526249211</v>
      </c>
      <c r="K236" s="298"/>
      <c r="L236" s="298"/>
      <c r="M236" s="298"/>
      <c r="N236" s="404"/>
    </row>
    <row r="237" spans="1:14" s="129" customFormat="1" ht="15" x14ac:dyDescent="0.25">
      <c r="A237" s="93" t="s">
        <v>95</v>
      </c>
      <c r="B237" s="104"/>
      <c r="C237" s="110"/>
      <c r="D237" s="51" t="s">
        <v>253</v>
      </c>
      <c r="E237" s="281" t="s">
        <v>181</v>
      </c>
      <c r="F237" s="182"/>
      <c r="G237" s="170">
        <v>368</v>
      </c>
      <c r="H237" s="184">
        <v>351</v>
      </c>
      <c r="I237" s="204">
        <f>(H237/G237)*100</f>
        <v>95.380434782608688</v>
      </c>
      <c r="K237" s="298"/>
      <c r="L237" s="298"/>
      <c r="M237" s="298"/>
      <c r="N237" s="404"/>
    </row>
    <row r="238" spans="1:14" s="129" customFormat="1" ht="15" x14ac:dyDescent="0.25">
      <c r="A238" s="93" t="s">
        <v>95</v>
      </c>
      <c r="B238" s="104"/>
      <c r="C238" s="110"/>
      <c r="D238" s="51" t="s">
        <v>254</v>
      </c>
      <c r="E238" s="281" t="s">
        <v>181</v>
      </c>
      <c r="F238" s="182"/>
      <c r="G238" s="170">
        <v>2085</v>
      </c>
      <c r="H238" s="184">
        <v>1989</v>
      </c>
      <c r="I238" s="204">
        <f>(H238/G238)*100</f>
        <v>95.39568345323741</v>
      </c>
      <c r="K238" s="298"/>
      <c r="L238" s="298"/>
      <c r="M238" s="298"/>
      <c r="N238" s="404"/>
    </row>
    <row r="239" spans="1:14" s="129" customFormat="1" ht="15" x14ac:dyDescent="0.25">
      <c r="A239" s="93" t="s">
        <v>95</v>
      </c>
      <c r="B239" s="104"/>
      <c r="C239" s="110"/>
      <c r="D239" s="51" t="s">
        <v>255</v>
      </c>
      <c r="E239" s="281" t="s">
        <v>182</v>
      </c>
      <c r="F239" s="182"/>
      <c r="G239" s="170">
        <v>4093</v>
      </c>
      <c r="H239" s="184">
        <v>31500</v>
      </c>
      <c r="I239" s="204">
        <f>(H239/G239)*100</f>
        <v>769.60664549230398</v>
      </c>
      <c r="K239" s="298"/>
      <c r="L239" s="298"/>
      <c r="M239" s="298"/>
      <c r="N239" s="404"/>
    </row>
    <row r="240" spans="1:14" s="129" customFormat="1" x14ac:dyDescent="0.2">
      <c r="A240" s="133" t="s">
        <v>95</v>
      </c>
      <c r="B240" s="128"/>
      <c r="C240" s="131"/>
      <c r="D240" s="65" t="s">
        <v>256</v>
      </c>
      <c r="E240" s="279" t="s">
        <v>114</v>
      </c>
      <c r="F240" s="239"/>
      <c r="G240" s="170">
        <v>48</v>
      </c>
      <c r="H240" s="184">
        <v>48</v>
      </c>
      <c r="I240" s="204">
        <f>(H240/G240)*100</f>
        <v>100</v>
      </c>
      <c r="K240" s="298"/>
      <c r="L240" s="298"/>
      <c r="M240" s="298"/>
      <c r="N240" s="404"/>
    </row>
    <row r="241" spans="1:14" s="129" customFormat="1" x14ac:dyDescent="0.2">
      <c r="A241" s="133" t="s">
        <v>95</v>
      </c>
      <c r="B241" s="128"/>
      <c r="C241" s="131"/>
      <c r="D241" s="51" t="s">
        <v>257</v>
      </c>
      <c r="E241" s="405" t="s">
        <v>157</v>
      </c>
      <c r="F241" s="239"/>
      <c r="G241" s="170">
        <v>2892</v>
      </c>
      <c r="H241" s="184">
        <v>2892</v>
      </c>
      <c r="I241" s="204">
        <f>(H241/G241)*100</f>
        <v>100</v>
      </c>
      <c r="K241" s="298"/>
      <c r="L241" s="298"/>
      <c r="M241" s="298"/>
      <c r="N241" s="404"/>
    </row>
    <row r="242" spans="1:14" s="129" customFormat="1" ht="15" x14ac:dyDescent="0.25">
      <c r="A242" s="133" t="s">
        <v>95</v>
      </c>
      <c r="B242" s="128"/>
      <c r="C242" s="110">
        <v>4123</v>
      </c>
      <c r="D242" s="51"/>
      <c r="E242" s="52" t="s">
        <v>59</v>
      </c>
      <c r="F242" s="177"/>
      <c r="G242" s="177">
        <v>8350</v>
      </c>
      <c r="H242" s="177">
        <v>8350</v>
      </c>
      <c r="I242" s="62">
        <f t="shared" ref="I242:I245" si="21">(H242/G242)*100</f>
        <v>100</v>
      </c>
      <c r="K242" s="298"/>
      <c r="L242" s="298"/>
      <c r="M242" s="298"/>
      <c r="N242" s="404"/>
    </row>
    <row r="243" spans="1:14" s="129" customFormat="1" ht="15" x14ac:dyDescent="0.25">
      <c r="A243" s="133" t="s">
        <v>95</v>
      </c>
      <c r="B243" s="128"/>
      <c r="C243" s="131"/>
      <c r="D243" s="66" t="s">
        <v>258</v>
      </c>
      <c r="E243" s="152" t="s">
        <v>62</v>
      </c>
      <c r="F243" s="177"/>
      <c r="G243" s="180">
        <v>8350</v>
      </c>
      <c r="H243" s="185">
        <v>8350</v>
      </c>
      <c r="I243" s="62">
        <f t="shared" si="21"/>
        <v>100</v>
      </c>
      <c r="K243" s="298"/>
      <c r="L243" s="298"/>
      <c r="M243" s="298"/>
      <c r="N243" s="404"/>
    </row>
    <row r="244" spans="1:14" s="129" customFormat="1" ht="15" x14ac:dyDescent="0.25">
      <c r="A244" s="133" t="s">
        <v>95</v>
      </c>
      <c r="B244" s="128"/>
      <c r="C244" s="341">
        <v>4213</v>
      </c>
      <c r="D244" s="66"/>
      <c r="E244" s="53" t="s">
        <v>123</v>
      </c>
      <c r="F244" s="177"/>
      <c r="G244" s="182">
        <v>18</v>
      </c>
      <c r="H244" s="183">
        <v>18</v>
      </c>
      <c r="I244" s="61">
        <f t="shared" si="21"/>
        <v>100</v>
      </c>
      <c r="K244" s="298"/>
      <c r="L244" s="298"/>
      <c r="M244" s="298"/>
      <c r="N244" s="404"/>
    </row>
    <row r="245" spans="1:14" s="129" customFormat="1" ht="15" x14ac:dyDescent="0.25">
      <c r="A245" s="133" t="s">
        <v>95</v>
      </c>
      <c r="B245" s="128"/>
      <c r="C245" s="340"/>
      <c r="D245" s="66" t="s">
        <v>251</v>
      </c>
      <c r="E245" s="152" t="s">
        <v>315</v>
      </c>
      <c r="F245" s="177"/>
      <c r="G245" s="180">
        <v>18</v>
      </c>
      <c r="H245" s="185">
        <v>18</v>
      </c>
      <c r="I245" s="62">
        <f t="shared" si="21"/>
        <v>100</v>
      </c>
      <c r="K245" s="298"/>
      <c r="L245" s="298"/>
      <c r="M245" s="298"/>
      <c r="N245" s="404"/>
    </row>
    <row r="246" spans="1:14" s="37" customFormat="1" ht="15" x14ac:dyDescent="0.25">
      <c r="A246" s="93" t="s">
        <v>95</v>
      </c>
      <c r="B246" s="104"/>
      <c r="C246" s="132">
        <v>4216</v>
      </c>
      <c r="D246" s="65"/>
      <c r="E246" s="52" t="s">
        <v>121</v>
      </c>
      <c r="F246" s="182"/>
      <c r="G246" s="182">
        <f>G247+G248+G249+G250</f>
        <v>82602</v>
      </c>
      <c r="H246" s="182">
        <f>H247+H248+H249+H250</f>
        <v>52613</v>
      </c>
      <c r="I246" s="61">
        <f t="shared" ref="I246:I250" si="22">(H246/G246)*100</f>
        <v>63.694583666255056</v>
      </c>
      <c r="K246" s="154"/>
      <c r="L246" s="154"/>
      <c r="M246" s="154"/>
      <c r="N246" s="361"/>
    </row>
    <row r="247" spans="1:14" s="37" customFormat="1" ht="15" x14ac:dyDescent="0.25">
      <c r="A247" s="93" t="s">
        <v>95</v>
      </c>
      <c r="B247" s="104"/>
      <c r="C247" s="132"/>
      <c r="D247" s="65" t="s">
        <v>259</v>
      </c>
      <c r="E247" s="405" t="s">
        <v>158</v>
      </c>
      <c r="F247" s="182"/>
      <c r="G247" s="170">
        <v>7627</v>
      </c>
      <c r="H247" s="184">
        <v>7240</v>
      </c>
      <c r="I247" s="62">
        <f t="shared" si="22"/>
        <v>94.925921069883316</v>
      </c>
      <c r="K247" s="154"/>
      <c r="L247" s="154"/>
      <c r="M247" s="154"/>
      <c r="N247" s="361"/>
    </row>
    <row r="248" spans="1:14" s="37" customFormat="1" ht="15" x14ac:dyDescent="0.25">
      <c r="A248" s="93" t="s">
        <v>95</v>
      </c>
      <c r="B248" s="104"/>
      <c r="C248" s="132"/>
      <c r="D248" s="65" t="s">
        <v>260</v>
      </c>
      <c r="E248" s="405" t="s">
        <v>158</v>
      </c>
      <c r="F248" s="182"/>
      <c r="G248" s="170">
        <v>43220</v>
      </c>
      <c r="H248" s="184">
        <v>41025</v>
      </c>
      <c r="I248" s="62">
        <f t="shared" si="22"/>
        <v>94.92133271633503</v>
      </c>
      <c r="K248" s="154"/>
      <c r="L248" s="154"/>
      <c r="M248" s="154"/>
      <c r="N248" s="361"/>
    </row>
    <row r="249" spans="1:14" s="37" customFormat="1" ht="15" x14ac:dyDescent="0.25">
      <c r="A249" s="93" t="s">
        <v>95</v>
      </c>
      <c r="B249" s="104"/>
      <c r="C249" s="132"/>
      <c r="D249" s="65" t="s">
        <v>261</v>
      </c>
      <c r="E249" s="405" t="s">
        <v>183</v>
      </c>
      <c r="F249" s="182"/>
      <c r="G249" s="170">
        <v>31500</v>
      </c>
      <c r="H249" s="184">
        <v>4093</v>
      </c>
      <c r="I249" s="62">
        <f t="shared" si="22"/>
        <v>12.993650793650794</v>
      </c>
      <c r="K249" s="154"/>
      <c r="L249" s="154"/>
      <c r="M249" s="154"/>
      <c r="N249" s="361"/>
    </row>
    <row r="250" spans="1:14" s="37" customFormat="1" ht="15" x14ac:dyDescent="0.25">
      <c r="A250" s="93" t="s">
        <v>95</v>
      </c>
      <c r="B250" s="104"/>
      <c r="C250" s="132"/>
      <c r="D250" s="65" t="s">
        <v>317</v>
      </c>
      <c r="E250" s="405" t="s">
        <v>318</v>
      </c>
      <c r="F250" s="182"/>
      <c r="G250" s="170">
        <v>255</v>
      </c>
      <c r="H250" s="184">
        <v>255</v>
      </c>
      <c r="I250" s="62">
        <f t="shared" si="22"/>
        <v>100</v>
      </c>
      <c r="K250" s="154"/>
      <c r="L250" s="154"/>
      <c r="M250" s="154"/>
      <c r="N250" s="361"/>
    </row>
    <row r="251" spans="1:14" s="37" customFormat="1" ht="15" x14ac:dyDescent="0.25">
      <c r="A251" s="93" t="s">
        <v>95</v>
      </c>
      <c r="B251" s="104"/>
      <c r="C251" s="109">
        <v>4223</v>
      </c>
      <c r="D251" s="66"/>
      <c r="E251" s="53" t="s">
        <v>72</v>
      </c>
      <c r="F251" s="182"/>
      <c r="G251" s="182">
        <v>133094</v>
      </c>
      <c r="H251" s="182">
        <v>70205</v>
      </c>
      <c r="I251" s="61">
        <f t="shared" ref="I251:I257" si="23">(H251/G251)*100</f>
        <v>52.748433438021245</v>
      </c>
      <c r="K251" s="154"/>
      <c r="L251" s="154"/>
      <c r="M251" s="154"/>
      <c r="N251" s="361"/>
    </row>
    <row r="252" spans="1:14" s="37" customFormat="1" ht="15" x14ac:dyDescent="0.25">
      <c r="A252" s="93" t="s">
        <v>95</v>
      </c>
      <c r="B252" s="104"/>
      <c r="C252" s="109"/>
      <c r="D252" s="66" t="s">
        <v>208</v>
      </c>
      <c r="E252" s="152" t="s">
        <v>184</v>
      </c>
      <c r="F252" s="182"/>
      <c r="G252" s="184">
        <v>133094</v>
      </c>
      <c r="H252" s="234">
        <v>70205</v>
      </c>
      <c r="I252" s="62">
        <f t="shared" si="23"/>
        <v>52.748433438021245</v>
      </c>
      <c r="K252" s="154"/>
      <c r="L252" s="154"/>
      <c r="M252" s="154"/>
      <c r="N252" s="361"/>
    </row>
    <row r="253" spans="1:14" s="37" customFormat="1" ht="15" x14ac:dyDescent="0.25">
      <c r="A253" s="93" t="s">
        <v>95</v>
      </c>
      <c r="B253" s="104">
        <v>2143</v>
      </c>
      <c r="C253" s="44">
        <v>2212</v>
      </c>
      <c r="D253" s="50"/>
      <c r="E253" s="54" t="s">
        <v>109</v>
      </c>
      <c r="F253" s="182"/>
      <c r="G253" s="183">
        <v>24</v>
      </c>
      <c r="H253" s="222">
        <v>24</v>
      </c>
      <c r="I253" s="61">
        <f t="shared" si="23"/>
        <v>100</v>
      </c>
      <c r="K253" s="154"/>
      <c r="L253" s="154"/>
      <c r="M253" s="154"/>
      <c r="N253" s="361"/>
    </row>
    <row r="254" spans="1:14" s="115" customFormat="1" x14ac:dyDescent="0.2">
      <c r="A254" s="393" t="s">
        <v>95</v>
      </c>
      <c r="B254" s="117"/>
      <c r="C254" s="120"/>
      <c r="D254" s="122"/>
      <c r="E254" s="113" t="s">
        <v>104</v>
      </c>
      <c r="F254" s="388">
        <v>0</v>
      </c>
      <c r="G254" s="388">
        <f>G234+G236+G246+G251+G242+G253+G244</f>
        <v>233781</v>
      </c>
      <c r="H254" s="388">
        <f>H234+H236+H246+H251+H242+H253+H244</f>
        <v>168197</v>
      </c>
      <c r="I254" s="116">
        <f t="shared" si="23"/>
        <v>71.946394274983845</v>
      </c>
      <c r="K254" s="456">
        <v>0</v>
      </c>
      <c r="L254" s="456">
        <v>233780825.34</v>
      </c>
      <c r="M254" s="456">
        <v>168197150.56</v>
      </c>
      <c r="N254" s="457"/>
    </row>
    <row r="255" spans="1:14" s="37" customFormat="1" ht="15" x14ac:dyDescent="0.25">
      <c r="A255" s="93" t="s">
        <v>96</v>
      </c>
      <c r="B255" s="104"/>
      <c r="C255" s="44">
        <v>4116</v>
      </c>
      <c r="D255" s="51"/>
      <c r="E255" s="48" t="s">
        <v>288</v>
      </c>
      <c r="F255" s="182"/>
      <c r="G255" s="182">
        <f>G256+G257+G258</f>
        <v>53312</v>
      </c>
      <c r="H255" s="182">
        <f>H256+H257</f>
        <v>49063</v>
      </c>
      <c r="I255" s="61">
        <f t="shared" si="23"/>
        <v>92.029936974789919</v>
      </c>
      <c r="K255" s="459"/>
      <c r="L255" s="459"/>
      <c r="M255" s="459"/>
      <c r="N255" s="460"/>
    </row>
    <row r="256" spans="1:14" s="37" customFormat="1" ht="15" x14ac:dyDescent="0.25">
      <c r="A256" s="93" t="s">
        <v>96</v>
      </c>
      <c r="B256" s="104"/>
      <c r="C256" s="44"/>
      <c r="D256" s="65" t="s">
        <v>224</v>
      </c>
      <c r="E256" s="406" t="s">
        <v>66</v>
      </c>
      <c r="F256" s="182"/>
      <c r="G256" s="170">
        <v>7997</v>
      </c>
      <c r="H256" s="235">
        <v>7360</v>
      </c>
      <c r="I256" s="1">
        <f t="shared" si="23"/>
        <v>92.034512942353388</v>
      </c>
      <c r="K256" s="154"/>
      <c r="L256" s="154"/>
      <c r="M256" s="154"/>
      <c r="N256" s="361"/>
    </row>
    <row r="257" spans="1:14" s="37" customFormat="1" ht="15" x14ac:dyDescent="0.25">
      <c r="A257" s="93" t="s">
        <v>96</v>
      </c>
      <c r="B257" s="104"/>
      <c r="C257" s="44"/>
      <c r="D257" s="65" t="s">
        <v>225</v>
      </c>
      <c r="E257" s="279" t="s">
        <v>66</v>
      </c>
      <c r="F257" s="182"/>
      <c r="G257" s="170">
        <v>45315</v>
      </c>
      <c r="H257" s="235">
        <v>41703</v>
      </c>
      <c r="I257" s="1">
        <f t="shared" si="23"/>
        <v>92.029129427341942</v>
      </c>
      <c r="K257" s="154"/>
      <c r="L257" s="154"/>
      <c r="M257" s="154"/>
      <c r="N257" s="361"/>
    </row>
    <row r="258" spans="1:14" s="37" customFormat="1" ht="15" x14ac:dyDescent="0.25">
      <c r="A258" s="93" t="s">
        <v>96</v>
      </c>
      <c r="B258" s="104">
        <v>4374</v>
      </c>
      <c r="C258" s="44">
        <v>2212</v>
      </c>
      <c r="D258" s="51"/>
      <c r="E258" s="54" t="s">
        <v>109</v>
      </c>
      <c r="F258" s="182"/>
      <c r="G258" s="170"/>
      <c r="H258" s="235">
        <v>27</v>
      </c>
      <c r="I258" s="1">
        <v>0</v>
      </c>
      <c r="K258" s="459"/>
      <c r="L258" s="459"/>
      <c r="M258" s="459"/>
      <c r="N258" s="361"/>
    </row>
    <row r="259" spans="1:14" s="115" customFormat="1" x14ac:dyDescent="0.2">
      <c r="A259" s="393" t="s">
        <v>96</v>
      </c>
      <c r="B259" s="117"/>
      <c r="C259" s="120"/>
      <c r="D259" s="122"/>
      <c r="E259" s="113" t="s">
        <v>104</v>
      </c>
      <c r="F259" s="388">
        <v>0</v>
      </c>
      <c r="G259" s="388">
        <f>G255</f>
        <v>53312</v>
      </c>
      <c r="H259" s="402">
        <f>H255+H258</f>
        <v>49090</v>
      </c>
      <c r="I259" s="116">
        <f t="shared" ref="I259:I265" si="24">(H259/G259)*100</f>
        <v>92.080582232893164</v>
      </c>
      <c r="K259" s="456">
        <v>0</v>
      </c>
      <c r="L259" s="456">
        <v>53311944.539999999</v>
      </c>
      <c r="M259" s="456">
        <v>49089541.280000001</v>
      </c>
      <c r="N259" s="385"/>
    </row>
    <row r="260" spans="1:14" s="37" customFormat="1" ht="15" x14ac:dyDescent="0.25">
      <c r="A260" s="93" t="s">
        <v>97</v>
      </c>
      <c r="B260" s="104"/>
      <c r="C260" s="44">
        <v>4118</v>
      </c>
      <c r="D260" s="67"/>
      <c r="E260" s="52" t="s">
        <v>63</v>
      </c>
      <c r="F260" s="182"/>
      <c r="G260" s="183">
        <v>8443</v>
      </c>
      <c r="H260" s="182">
        <v>8443</v>
      </c>
      <c r="I260" s="17">
        <f t="shared" si="24"/>
        <v>100</v>
      </c>
      <c r="K260" s="459"/>
      <c r="L260" s="459"/>
      <c r="M260" s="459"/>
      <c r="N260" s="361"/>
    </row>
    <row r="261" spans="1:14" s="37" customFormat="1" ht="15" customHeight="1" x14ac:dyDescent="0.25">
      <c r="A261" s="93" t="s">
        <v>97</v>
      </c>
      <c r="B261" s="104"/>
      <c r="C261" s="44"/>
      <c r="D261" s="66" t="s">
        <v>262</v>
      </c>
      <c r="E261" s="125" t="s">
        <v>115</v>
      </c>
      <c r="F261" s="182"/>
      <c r="G261" s="184">
        <v>8443</v>
      </c>
      <c r="H261" s="170">
        <v>8443</v>
      </c>
      <c r="I261" s="1">
        <f t="shared" si="24"/>
        <v>100</v>
      </c>
      <c r="K261" s="154"/>
      <c r="L261" s="154"/>
      <c r="M261" s="154"/>
      <c r="N261" s="361"/>
    </row>
    <row r="262" spans="1:14" s="37" customFormat="1" ht="15" customHeight="1" x14ac:dyDescent="0.25">
      <c r="A262" s="93" t="s">
        <v>97</v>
      </c>
      <c r="B262" s="104"/>
      <c r="C262" s="44">
        <v>4152</v>
      </c>
      <c r="D262" s="66"/>
      <c r="E262" s="342" t="s">
        <v>323</v>
      </c>
      <c r="F262" s="182"/>
      <c r="G262" s="183">
        <v>695</v>
      </c>
      <c r="H262" s="182">
        <v>695</v>
      </c>
      <c r="I262" s="17">
        <f t="shared" si="24"/>
        <v>100</v>
      </c>
      <c r="K262" s="154"/>
      <c r="L262" s="154"/>
      <c r="M262" s="154"/>
      <c r="N262" s="361"/>
    </row>
    <row r="263" spans="1:14" s="37" customFormat="1" ht="15" customHeight="1" x14ac:dyDescent="0.25">
      <c r="A263" s="93" t="s">
        <v>97</v>
      </c>
      <c r="B263" s="104"/>
      <c r="C263" s="44">
        <v>4218</v>
      </c>
      <c r="D263" s="67"/>
      <c r="E263" s="52" t="s">
        <v>58</v>
      </c>
      <c r="F263" s="182"/>
      <c r="G263" s="183">
        <v>8141</v>
      </c>
      <c r="H263" s="182">
        <v>8141</v>
      </c>
      <c r="I263" s="17">
        <f t="shared" si="24"/>
        <v>100</v>
      </c>
      <c r="K263" s="154"/>
      <c r="L263" s="154"/>
      <c r="M263" s="154"/>
      <c r="N263" s="361"/>
    </row>
    <row r="264" spans="1:14" s="37" customFormat="1" ht="15" customHeight="1" x14ac:dyDescent="0.25">
      <c r="A264" s="93" t="s">
        <v>97</v>
      </c>
      <c r="B264" s="104"/>
      <c r="C264" s="44"/>
      <c r="D264" s="66" t="s">
        <v>263</v>
      </c>
      <c r="E264" s="343" t="s">
        <v>122</v>
      </c>
      <c r="F264" s="354"/>
      <c r="G264" s="2">
        <v>8141</v>
      </c>
      <c r="H264" s="76">
        <v>8141</v>
      </c>
      <c r="I264" s="1">
        <f t="shared" si="24"/>
        <v>100</v>
      </c>
      <c r="K264" s="461"/>
      <c r="L264" s="461"/>
      <c r="M264" s="461"/>
      <c r="N264" s="361"/>
    </row>
    <row r="265" spans="1:14" s="115" customFormat="1" ht="15" thickBot="1" x14ac:dyDescent="0.25">
      <c r="A265" s="334" t="s">
        <v>97</v>
      </c>
      <c r="B265" s="335"/>
      <c r="C265" s="336"/>
      <c r="D265" s="337"/>
      <c r="E265" s="338" t="s">
        <v>104</v>
      </c>
      <c r="F265" s="407">
        <v>0</v>
      </c>
      <c r="G265" s="407">
        <f>G260+G263+G262</f>
        <v>17279</v>
      </c>
      <c r="H265" s="407">
        <f>H260+H263+H262</f>
        <v>17279</v>
      </c>
      <c r="I265" s="344">
        <f t="shared" si="24"/>
        <v>100</v>
      </c>
      <c r="K265" s="456">
        <v>0</v>
      </c>
      <c r="L265" s="456">
        <v>17279203.890000001</v>
      </c>
      <c r="M265" s="456">
        <v>17279240.710000001</v>
      </c>
      <c r="N265" s="385"/>
    </row>
    <row r="266" spans="1:14" s="158" customFormat="1" ht="15.75" thickTop="1" x14ac:dyDescent="0.25">
      <c r="A266" s="163"/>
      <c r="B266" s="164"/>
      <c r="C266" s="162"/>
      <c r="D266" s="166"/>
      <c r="E266" s="157"/>
      <c r="F266" s="447">
        <v>0</v>
      </c>
      <c r="G266" s="447">
        <f>G207+G209+G211+G215+G220+G223+G226+G233+G254+G259+G265</f>
        <v>764467</v>
      </c>
      <c r="H266" s="447">
        <f>H207+H209+H211+H215+H220+H223+H226+H233+H254+H259+H265</f>
        <v>566702</v>
      </c>
      <c r="I266" s="348"/>
      <c r="K266" s="227">
        <f>K265+K259+K254+K233+K226+K223+K220+K215+K211+K209+K207</f>
        <v>0</v>
      </c>
      <c r="L266" s="227">
        <f>L265+L259+L254+L233+L226+L223+L220+L215+L211+L209+L207</f>
        <v>764467719.3599999</v>
      </c>
      <c r="M266" s="227">
        <f>M265+M259+M254+M233+M226+M223+M220+M215+M211+M209+M207</f>
        <v>566702525.78999996</v>
      </c>
      <c r="N266" s="386"/>
    </row>
    <row r="267" spans="1:14" s="158" customFormat="1" x14ac:dyDescent="0.2">
      <c r="A267" s="163"/>
      <c r="B267" s="164"/>
      <c r="C267" s="162"/>
      <c r="D267" s="166"/>
      <c r="E267" s="157"/>
      <c r="F267" s="401"/>
      <c r="G267" s="401"/>
      <c r="H267" s="401"/>
      <c r="I267" s="348"/>
      <c r="K267" s="227"/>
      <c r="L267" s="227"/>
      <c r="M267" s="227"/>
      <c r="N267" s="386"/>
    </row>
    <row r="268" spans="1:14" ht="13.5" customHeight="1" thickBot="1" x14ac:dyDescent="0.25">
      <c r="A268" s="95"/>
      <c r="G268" s="30"/>
      <c r="I268" s="32" t="s">
        <v>0</v>
      </c>
    </row>
    <row r="269" spans="1:14" s="37" customFormat="1" ht="20.25" customHeight="1" thickTop="1" thickBot="1" x14ac:dyDescent="0.25">
      <c r="A269" s="74" t="s">
        <v>73</v>
      </c>
      <c r="B269" s="72" t="s">
        <v>13</v>
      </c>
      <c r="C269" s="33" t="s">
        <v>2</v>
      </c>
      <c r="D269" s="450" t="s">
        <v>326</v>
      </c>
      <c r="E269" s="34" t="s">
        <v>3</v>
      </c>
      <c r="F269" s="35" t="s">
        <v>4</v>
      </c>
      <c r="G269" s="35" t="s">
        <v>5</v>
      </c>
      <c r="H269" s="35" t="s">
        <v>18</v>
      </c>
      <c r="I269" s="36" t="s">
        <v>19</v>
      </c>
      <c r="K269" s="154"/>
      <c r="L269" s="154"/>
      <c r="M269" s="154"/>
      <c r="N269" s="361"/>
    </row>
    <row r="270" spans="1:14" s="38" customFormat="1" ht="12.75" thickTop="1" x14ac:dyDescent="0.2">
      <c r="A270" s="90">
        <v>1</v>
      </c>
      <c r="B270" s="85">
        <v>2</v>
      </c>
      <c r="C270" s="86">
        <v>3</v>
      </c>
      <c r="D270" s="85">
        <v>4</v>
      </c>
      <c r="E270" s="86">
        <v>5</v>
      </c>
      <c r="F270" s="85">
        <v>6</v>
      </c>
      <c r="G270" s="87">
        <v>7</v>
      </c>
      <c r="H270" s="88">
        <v>8</v>
      </c>
      <c r="I270" s="89" t="s">
        <v>74</v>
      </c>
      <c r="J270" s="37"/>
      <c r="K270" s="213"/>
      <c r="L270" s="213"/>
      <c r="M270" s="213"/>
      <c r="N270" s="362"/>
    </row>
    <row r="271" spans="1:14" s="37" customFormat="1" ht="15" x14ac:dyDescent="0.25">
      <c r="A271" s="93" t="s">
        <v>98</v>
      </c>
      <c r="B271" s="104"/>
      <c r="C271" s="44">
        <v>4116</v>
      </c>
      <c r="D271" s="51"/>
      <c r="E271" s="48" t="s">
        <v>288</v>
      </c>
      <c r="F271" s="182"/>
      <c r="G271" s="182">
        <f>G272+G273</f>
        <v>29661</v>
      </c>
      <c r="H271" s="182">
        <f>H272+H273</f>
        <v>29661</v>
      </c>
      <c r="I271" s="17">
        <f>(H271/G271)*100</f>
        <v>100</v>
      </c>
      <c r="K271" s="154"/>
      <c r="L271" s="154"/>
      <c r="M271" s="154"/>
      <c r="N271" s="361"/>
    </row>
    <row r="272" spans="1:14" s="37" customFormat="1" ht="15" x14ac:dyDescent="0.25">
      <c r="A272" s="93" t="s">
        <v>98</v>
      </c>
      <c r="B272" s="107"/>
      <c r="C272" s="44"/>
      <c r="D272" s="51" t="s">
        <v>264</v>
      </c>
      <c r="E272" s="357" t="s">
        <v>68</v>
      </c>
      <c r="F272" s="182"/>
      <c r="G272" s="236">
        <v>4449</v>
      </c>
      <c r="H272" s="237">
        <v>4449</v>
      </c>
      <c r="I272" s="1">
        <f>(H272/G272)*100</f>
        <v>100</v>
      </c>
      <c r="K272" s="154"/>
      <c r="L272" s="154"/>
      <c r="M272" s="154"/>
      <c r="N272" s="361"/>
    </row>
    <row r="273" spans="1:14" s="37" customFormat="1" ht="15" customHeight="1" x14ac:dyDescent="0.25">
      <c r="A273" s="93" t="s">
        <v>98</v>
      </c>
      <c r="B273" s="107"/>
      <c r="C273" s="44"/>
      <c r="D273" s="51" t="s">
        <v>265</v>
      </c>
      <c r="E273" s="357" t="s">
        <v>68</v>
      </c>
      <c r="F273" s="182"/>
      <c r="G273" s="236">
        <v>25212</v>
      </c>
      <c r="H273" s="237">
        <v>25212</v>
      </c>
      <c r="I273" s="1">
        <f>(H273/G273)*100</f>
        <v>100</v>
      </c>
      <c r="K273" s="154"/>
      <c r="L273" s="154"/>
      <c r="M273" s="154"/>
      <c r="N273" s="361"/>
    </row>
    <row r="274" spans="1:14" s="37" customFormat="1" ht="15" customHeight="1" x14ac:dyDescent="0.25">
      <c r="A274" s="93" t="s">
        <v>98</v>
      </c>
      <c r="B274" s="104"/>
      <c r="C274" s="132">
        <v>4216</v>
      </c>
      <c r="D274" s="65"/>
      <c r="E274" s="52" t="s">
        <v>121</v>
      </c>
      <c r="F274" s="182"/>
      <c r="G274" s="219">
        <f>G275+G276</f>
        <v>160</v>
      </c>
      <c r="H274" s="238">
        <f>H275+H276</f>
        <v>160</v>
      </c>
      <c r="I274" s="17">
        <f t="shared" ref="I274:I277" si="25">(H274/G274)*100</f>
        <v>100</v>
      </c>
      <c r="K274" s="154"/>
      <c r="L274" s="154"/>
      <c r="M274" s="154"/>
      <c r="N274" s="361"/>
    </row>
    <row r="275" spans="1:14" s="37" customFormat="1" ht="15" customHeight="1" x14ac:dyDescent="0.25">
      <c r="A275" s="93" t="s">
        <v>98</v>
      </c>
      <c r="B275" s="107"/>
      <c r="C275" s="44"/>
      <c r="D275" s="51" t="s">
        <v>266</v>
      </c>
      <c r="E275" s="405" t="s">
        <v>159</v>
      </c>
      <c r="F275" s="182"/>
      <c r="G275" s="236">
        <v>24</v>
      </c>
      <c r="H275" s="237">
        <v>24</v>
      </c>
      <c r="I275" s="1">
        <f t="shared" si="25"/>
        <v>100</v>
      </c>
      <c r="K275" s="154"/>
      <c r="L275" s="154"/>
      <c r="M275" s="154"/>
      <c r="N275" s="361"/>
    </row>
    <row r="276" spans="1:14" s="37" customFormat="1" ht="15" customHeight="1" x14ac:dyDescent="0.25">
      <c r="A276" s="93" t="s">
        <v>98</v>
      </c>
      <c r="B276" s="107"/>
      <c r="C276" s="44"/>
      <c r="D276" s="51" t="s">
        <v>267</v>
      </c>
      <c r="E276" s="405" t="s">
        <v>159</v>
      </c>
      <c r="F276" s="182"/>
      <c r="G276" s="236">
        <v>136</v>
      </c>
      <c r="H276" s="237">
        <v>136</v>
      </c>
      <c r="I276" s="1">
        <f t="shared" si="25"/>
        <v>100</v>
      </c>
      <c r="K276" s="154"/>
      <c r="L276" s="154"/>
      <c r="M276" s="154"/>
      <c r="N276" s="361"/>
    </row>
    <row r="277" spans="1:14" s="37" customFormat="1" ht="15" x14ac:dyDescent="0.25">
      <c r="A277" s="93" t="s">
        <v>98</v>
      </c>
      <c r="B277" s="104">
        <v>3299</v>
      </c>
      <c r="C277" s="44">
        <v>2212</v>
      </c>
      <c r="D277" s="51"/>
      <c r="E277" s="54" t="s">
        <v>109</v>
      </c>
      <c r="F277" s="182"/>
      <c r="G277" s="182">
        <v>136</v>
      </c>
      <c r="H277" s="182">
        <v>126</v>
      </c>
      <c r="I277" s="17">
        <f t="shared" si="25"/>
        <v>92.64705882352942</v>
      </c>
      <c r="K277" s="154"/>
      <c r="L277" s="154"/>
      <c r="M277" s="408"/>
      <c r="N277" s="361"/>
    </row>
    <row r="278" spans="1:14" s="37" customFormat="1" ht="15" x14ac:dyDescent="0.25">
      <c r="A278" s="93" t="s">
        <v>98</v>
      </c>
      <c r="B278" s="104">
        <v>6402</v>
      </c>
      <c r="C278" s="44">
        <v>2229</v>
      </c>
      <c r="D278" s="51"/>
      <c r="E278" s="48" t="s">
        <v>33</v>
      </c>
      <c r="F278" s="182"/>
      <c r="G278" s="182">
        <v>311</v>
      </c>
      <c r="H278" s="182">
        <v>257</v>
      </c>
      <c r="I278" s="17">
        <f t="shared" ref="I278" si="26">(H278/G278)*100</f>
        <v>82.636655948553056</v>
      </c>
      <c r="K278" s="154"/>
      <c r="L278" s="154"/>
      <c r="M278" s="408"/>
      <c r="N278" s="361"/>
    </row>
    <row r="279" spans="1:14" s="115" customFormat="1" x14ac:dyDescent="0.2">
      <c r="A279" s="393" t="s">
        <v>98</v>
      </c>
      <c r="B279" s="120"/>
      <c r="C279" s="120"/>
      <c r="D279" s="122"/>
      <c r="E279" s="113" t="s">
        <v>104</v>
      </c>
      <c r="F279" s="388">
        <v>0</v>
      </c>
      <c r="G279" s="388">
        <f>G271+G274+G277+G278</f>
        <v>30268</v>
      </c>
      <c r="H279" s="388">
        <f>H271+H274+H277+H278</f>
        <v>30204</v>
      </c>
      <c r="I279" s="116">
        <f t="shared" ref="I279" si="27">(H279/G279)*100</f>
        <v>99.788555570239197</v>
      </c>
      <c r="K279" s="456">
        <v>0</v>
      </c>
      <c r="L279" s="456">
        <v>30268315.379999999</v>
      </c>
      <c r="M279" s="456">
        <v>30203630.300000001</v>
      </c>
      <c r="N279" s="385"/>
    </row>
    <row r="280" spans="1:14" s="129" customFormat="1" ht="15" x14ac:dyDescent="0.25">
      <c r="A280" s="135" t="s">
        <v>124</v>
      </c>
      <c r="B280" s="130"/>
      <c r="C280" s="44">
        <v>4116</v>
      </c>
      <c r="D280" s="51"/>
      <c r="E280" s="48" t="s">
        <v>288</v>
      </c>
      <c r="F280" s="239"/>
      <c r="G280" s="239">
        <f>G281+G282+G283</f>
        <v>18795</v>
      </c>
      <c r="H280" s="239">
        <f>H281+H282+H283</f>
        <v>18795</v>
      </c>
      <c r="I280" s="17">
        <f t="shared" ref="I280:I282" si="28">(H280/G280)*100</f>
        <v>100</v>
      </c>
      <c r="K280" s="298"/>
      <c r="L280" s="298"/>
      <c r="M280" s="298"/>
      <c r="N280" s="404"/>
    </row>
    <row r="281" spans="1:14" s="129" customFormat="1" x14ac:dyDescent="0.2">
      <c r="A281" s="133" t="s">
        <v>124</v>
      </c>
      <c r="B281" s="134"/>
      <c r="C281" s="130"/>
      <c r="D281" s="65" t="s">
        <v>224</v>
      </c>
      <c r="E281" s="406" t="s">
        <v>66</v>
      </c>
      <c r="F281" s="240"/>
      <c r="G281" s="241">
        <v>2440</v>
      </c>
      <c r="H281" s="241">
        <v>2440</v>
      </c>
      <c r="I281" s="1">
        <f t="shared" si="28"/>
        <v>100</v>
      </c>
      <c r="K281" s="298"/>
      <c r="L281" s="298"/>
      <c r="M281" s="298"/>
      <c r="N281" s="404"/>
    </row>
    <row r="282" spans="1:14" s="129" customFormat="1" x14ac:dyDescent="0.2">
      <c r="A282" s="133" t="s">
        <v>124</v>
      </c>
      <c r="B282" s="134"/>
      <c r="C282" s="130"/>
      <c r="D282" s="65" t="s">
        <v>225</v>
      </c>
      <c r="E282" s="279" t="s">
        <v>66</v>
      </c>
      <c r="F282" s="240"/>
      <c r="G282" s="241">
        <v>13826</v>
      </c>
      <c r="H282" s="241">
        <v>13826</v>
      </c>
      <c r="I282" s="1">
        <f t="shared" si="28"/>
        <v>100</v>
      </c>
      <c r="K282" s="298"/>
      <c r="L282" s="298"/>
      <c r="M282" s="298"/>
      <c r="N282" s="404"/>
    </row>
    <row r="283" spans="1:14" s="129" customFormat="1" ht="15.75" customHeight="1" x14ac:dyDescent="0.2">
      <c r="A283" s="172" t="s">
        <v>124</v>
      </c>
      <c r="B283" s="134"/>
      <c r="C283" s="131"/>
      <c r="D283" s="65" t="s">
        <v>268</v>
      </c>
      <c r="E283" s="279" t="s">
        <v>171</v>
      </c>
      <c r="F283" s="240"/>
      <c r="G283" s="242">
        <v>2529</v>
      </c>
      <c r="H283" s="242">
        <v>2529</v>
      </c>
      <c r="I283" s="126">
        <v>0</v>
      </c>
      <c r="K283" s="298"/>
      <c r="L283" s="298"/>
      <c r="M283" s="298"/>
      <c r="N283" s="404"/>
    </row>
    <row r="284" spans="1:14" s="115" customFormat="1" x14ac:dyDescent="0.2">
      <c r="A284" s="393" t="s">
        <v>124</v>
      </c>
      <c r="B284" s="120"/>
      <c r="C284" s="120"/>
      <c r="D284" s="122"/>
      <c r="E284" s="113" t="s">
        <v>104</v>
      </c>
      <c r="F284" s="388">
        <v>0</v>
      </c>
      <c r="G284" s="388">
        <f>G280</f>
        <v>18795</v>
      </c>
      <c r="H284" s="388">
        <f>H280</f>
        <v>18795</v>
      </c>
      <c r="I284" s="116">
        <f>(H284/G284)*100</f>
        <v>100</v>
      </c>
      <c r="K284" s="456">
        <v>0</v>
      </c>
      <c r="L284" s="456">
        <v>18794666.609999999</v>
      </c>
      <c r="M284" s="456">
        <v>18794666.609999999</v>
      </c>
      <c r="N284" s="385"/>
    </row>
    <row r="285" spans="1:14" s="158" customFormat="1" ht="15" x14ac:dyDescent="0.25">
      <c r="A285" s="159" t="s">
        <v>139</v>
      </c>
      <c r="B285" s="168"/>
      <c r="C285" s="44">
        <v>4116</v>
      </c>
      <c r="D285" s="156"/>
      <c r="E285" s="48" t="s">
        <v>288</v>
      </c>
      <c r="F285" s="239"/>
      <c r="G285" s="182">
        <f>G286+G287</f>
        <v>68842</v>
      </c>
      <c r="H285" s="182">
        <v>68842</v>
      </c>
      <c r="I285" s="17">
        <f t="shared" ref="I285:I287" si="29">(H285/G285)*100</f>
        <v>100</v>
      </c>
      <c r="K285" s="227"/>
      <c r="L285" s="227"/>
      <c r="M285" s="227"/>
      <c r="N285" s="386"/>
    </row>
    <row r="286" spans="1:14" s="158" customFormat="1" x14ac:dyDescent="0.2">
      <c r="A286" s="159" t="s">
        <v>139</v>
      </c>
      <c r="B286" s="168"/>
      <c r="C286" s="171"/>
      <c r="D286" s="51" t="s">
        <v>269</v>
      </c>
      <c r="E286" s="169" t="s">
        <v>140</v>
      </c>
      <c r="F286" s="239"/>
      <c r="G286" s="170">
        <v>10326</v>
      </c>
      <c r="H286" s="170">
        <v>10326</v>
      </c>
      <c r="I286" s="1">
        <f t="shared" si="29"/>
        <v>100</v>
      </c>
      <c r="K286" s="227"/>
      <c r="L286" s="227"/>
      <c r="M286" s="227"/>
      <c r="N286" s="386"/>
    </row>
    <row r="287" spans="1:14" s="158" customFormat="1" x14ac:dyDescent="0.2">
      <c r="A287" s="159" t="s">
        <v>139</v>
      </c>
      <c r="B287" s="168"/>
      <c r="C287" s="171"/>
      <c r="D287" s="51" t="s">
        <v>270</v>
      </c>
      <c r="E287" s="169" t="s">
        <v>140</v>
      </c>
      <c r="F287" s="239"/>
      <c r="G287" s="170">
        <v>58516</v>
      </c>
      <c r="H287" s="170">
        <v>58516</v>
      </c>
      <c r="I287" s="1">
        <f t="shared" si="29"/>
        <v>100</v>
      </c>
      <c r="K287" s="227"/>
      <c r="L287" s="227"/>
      <c r="M287" s="227"/>
      <c r="N287" s="386"/>
    </row>
    <row r="288" spans="1:14" s="158" customFormat="1" ht="15" x14ac:dyDescent="0.25">
      <c r="A288" s="159" t="s">
        <v>139</v>
      </c>
      <c r="B288" s="168"/>
      <c r="C288" s="132">
        <v>4216</v>
      </c>
      <c r="D288" s="65"/>
      <c r="E288" s="52" t="s">
        <v>121</v>
      </c>
      <c r="F288" s="239"/>
      <c r="G288" s="182">
        <f>G289+G290</f>
        <v>700</v>
      </c>
      <c r="H288" s="182">
        <f>H289+H290</f>
        <v>700</v>
      </c>
      <c r="I288" s="17">
        <f t="shared" ref="I288" si="30">(H288/G288)*100</f>
        <v>100</v>
      </c>
      <c r="K288" s="227"/>
      <c r="L288" s="227"/>
      <c r="M288" s="227"/>
      <c r="N288" s="386"/>
    </row>
    <row r="289" spans="1:14" s="158" customFormat="1" x14ac:dyDescent="0.2">
      <c r="A289" s="159" t="s">
        <v>139</v>
      </c>
      <c r="B289" s="168"/>
      <c r="C289" s="110"/>
      <c r="D289" s="51" t="s">
        <v>271</v>
      </c>
      <c r="E289" s="279" t="s">
        <v>185</v>
      </c>
      <c r="F289" s="239"/>
      <c r="G289" s="170">
        <v>105</v>
      </c>
      <c r="H289" s="170">
        <v>105</v>
      </c>
      <c r="I289" s="1">
        <f t="shared" ref="I289:I290" si="31">(H289/G289)*100</f>
        <v>100</v>
      </c>
      <c r="K289" s="227"/>
      <c r="L289" s="227"/>
      <c r="M289" s="227"/>
      <c r="N289" s="386"/>
    </row>
    <row r="290" spans="1:14" s="158" customFormat="1" x14ac:dyDescent="0.2">
      <c r="A290" s="159" t="s">
        <v>139</v>
      </c>
      <c r="B290" s="168"/>
      <c r="C290" s="44"/>
      <c r="D290" s="51" t="s">
        <v>272</v>
      </c>
      <c r="E290" s="279" t="s">
        <v>185</v>
      </c>
      <c r="F290" s="239"/>
      <c r="G290" s="170">
        <v>595</v>
      </c>
      <c r="H290" s="170">
        <v>595</v>
      </c>
      <c r="I290" s="1">
        <f t="shared" si="31"/>
        <v>100</v>
      </c>
      <c r="K290" s="227"/>
      <c r="L290" s="227"/>
      <c r="M290" s="227"/>
      <c r="N290" s="386"/>
    </row>
    <row r="291" spans="1:14" s="158" customFormat="1" ht="15" x14ac:dyDescent="0.25">
      <c r="A291" s="159" t="s">
        <v>139</v>
      </c>
      <c r="B291" s="409">
        <v>3299</v>
      </c>
      <c r="C291" s="160">
        <v>2141</v>
      </c>
      <c r="D291" s="156"/>
      <c r="E291" s="55" t="s">
        <v>11</v>
      </c>
      <c r="F291" s="239"/>
      <c r="G291" s="170"/>
      <c r="H291" s="182">
        <v>16</v>
      </c>
      <c r="I291" s="17">
        <v>0</v>
      </c>
      <c r="K291" s="227"/>
      <c r="L291" s="227"/>
      <c r="M291" s="227"/>
      <c r="N291" s="386"/>
    </row>
    <row r="292" spans="1:14" s="158" customFormat="1" ht="15" x14ac:dyDescent="0.25">
      <c r="A292" s="159" t="s">
        <v>139</v>
      </c>
      <c r="B292" s="409">
        <v>3299</v>
      </c>
      <c r="C292" s="160">
        <v>2212</v>
      </c>
      <c r="D292" s="156"/>
      <c r="E292" s="54" t="s">
        <v>109</v>
      </c>
      <c r="F292" s="239"/>
      <c r="G292" s="182">
        <v>40</v>
      </c>
      <c r="H292" s="182">
        <v>40</v>
      </c>
      <c r="I292" s="17">
        <f t="shared" ref="I292:I293" si="32">(H292/G292)*100</f>
        <v>100</v>
      </c>
      <c r="K292" s="227"/>
      <c r="L292" s="227"/>
      <c r="M292" s="227"/>
      <c r="N292" s="386"/>
    </row>
    <row r="293" spans="1:14" s="158" customFormat="1" ht="15" x14ac:dyDescent="0.25">
      <c r="A293" s="159" t="s">
        <v>139</v>
      </c>
      <c r="B293" s="409">
        <v>6402</v>
      </c>
      <c r="C293" s="160">
        <v>2229</v>
      </c>
      <c r="D293" s="156"/>
      <c r="E293" s="48" t="s">
        <v>33</v>
      </c>
      <c r="F293" s="239"/>
      <c r="G293" s="182">
        <v>481</v>
      </c>
      <c r="H293" s="182">
        <v>494</v>
      </c>
      <c r="I293" s="17">
        <f t="shared" si="32"/>
        <v>102.70270270270269</v>
      </c>
      <c r="K293" s="227"/>
      <c r="L293" s="227"/>
      <c r="M293" s="227"/>
      <c r="N293" s="386"/>
    </row>
    <row r="294" spans="1:14" s="115" customFormat="1" x14ac:dyDescent="0.2">
      <c r="A294" s="393" t="s">
        <v>139</v>
      </c>
      <c r="B294" s="120"/>
      <c r="C294" s="120"/>
      <c r="D294" s="122"/>
      <c r="E294" s="113" t="s">
        <v>104</v>
      </c>
      <c r="F294" s="388">
        <v>0</v>
      </c>
      <c r="G294" s="388">
        <f>G285+G288+G291+G292+G293</f>
        <v>70063</v>
      </c>
      <c r="H294" s="388">
        <f>H285+H288+H291+H292+H293</f>
        <v>70092</v>
      </c>
      <c r="I294" s="116">
        <f>(H294/G294)*100</f>
        <v>100.04139131924126</v>
      </c>
      <c r="K294" s="456">
        <v>0</v>
      </c>
      <c r="L294" s="456">
        <v>70062819.769999996</v>
      </c>
      <c r="M294" s="456">
        <v>70092479.620000005</v>
      </c>
      <c r="N294" s="385"/>
    </row>
    <row r="295" spans="1:14" s="158" customFormat="1" ht="15" x14ac:dyDescent="0.25">
      <c r="A295" s="159" t="s">
        <v>141</v>
      </c>
      <c r="B295" s="168"/>
      <c r="C295" s="44">
        <v>4116</v>
      </c>
      <c r="D295" s="156"/>
      <c r="E295" s="48" t="s">
        <v>288</v>
      </c>
      <c r="F295" s="239"/>
      <c r="G295" s="182">
        <f>G296+G297</f>
        <v>6169</v>
      </c>
      <c r="H295" s="182">
        <f>H296+H297</f>
        <v>6169</v>
      </c>
      <c r="I295" s="17">
        <f t="shared" ref="I295:I297" si="33">(H295/G295)*100</f>
        <v>100</v>
      </c>
      <c r="K295" s="227"/>
      <c r="L295" s="227"/>
      <c r="M295" s="227"/>
      <c r="N295" s="386"/>
    </row>
    <row r="296" spans="1:14" s="158" customFormat="1" x14ac:dyDescent="0.2">
      <c r="A296" s="159" t="s">
        <v>141</v>
      </c>
      <c r="B296" s="168"/>
      <c r="C296" s="171"/>
      <c r="D296" s="51" t="s">
        <v>269</v>
      </c>
      <c r="E296" s="169" t="s">
        <v>140</v>
      </c>
      <c r="F296" s="239"/>
      <c r="G296" s="170">
        <v>925</v>
      </c>
      <c r="H296" s="170">
        <v>925</v>
      </c>
      <c r="I296" s="1">
        <f t="shared" si="33"/>
        <v>100</v>
      </c>
      <c r="K296" s="227"/>
      <c r="L296" s="227"/>
      <c r="M296" s="227"/>
      <c r="N296" s="386"/>
    </row>
    <row r="297" spans="1:14" s="158" customFormat="1" x14ac:dyDescent="0.2">
      <c r="A297" s="159" t="s">
        <v>141</v>
      </c>
      <c r="B297" s="168"/>
      <c r="C297" s="171"/>
      <c r="D297" s="51" t="s">
        <v>270</v>
      </c>
      <c r="E297" s="169" t="s">
        <v>140</v>
      </c>
      <c r="F297" s="239"/>
      <c r="G297" s="170">
        <v>5244</v>
      </c>
      <c r="H297" s="170">
        <v>5244</v>
      </c>
      <c r="I297" s="1">
        <f t="shared" si="33"/>
        <v>100</v>
      </c>
      <c r="K297" s="227"/>
      <c r="L297" s="227"/>
      <c r="M297" s="227"/>
      <c r="N297" s="386"/>
    </row>
    <row r="298" spans="1:14" s="158" customFormat="1" ht="15" x14ac:dyDescent="0.25">
      <c r="A298" s="159" t="s">
        <v>141</v>
      </c>
      <c r="B298" s="409">
        <v>3299</v>
      </c>
      <c r="C298" s="160">
        <v>2141</v>
      </c>
      <c r="D298" s="156"/>
      <c r="E298" s="55" t="s">
        <v>11</v>
      </c>
      <c r="F298" s="239"/>
      <c r="G298" s="170"/>
      <c r="H298" s="182">
        <v>10</v>
      </c>
      <c r="I298" s="17">
        <v>0</v>
      </c>
      <c r="K298" s="227"/>
      <c r="L298" s="227"/>
      <c r="M298" s="227"/>
      <c r="N298" s="386"/>
    </row>
    <row r="299" spans="1:14" s="158" customFormat="1" ht="15" x14ac:dyDescent="0.25">
      <c r="A299" s="159" t="s">
        <v>141</v>
      </c>
      <c r="B299" s="409">
        <v>3299</v>
      </c>
      <c r="C299" s="160">
        <v>2212</v>
      </c>
      <c r="D299" s="156"/>
      <c r="E299" s="54" t="s">
        <v>109</v>
      </c>
      <c r="F299" s="239"/>
      <c r="G299" s="182">
        <v>53</v>
      </c>
      <c r="H299" s="182">
        <v>53</v>
      </c>
      <c r="I299" s="17">
        <f t="shared" ref="I299:I300" si="34">(H299/G299)*100</f>
        <v>100</v>
      </c>
      <c r="K299" s="227"/>
      <c r="L299" s="227"/>
      <c r="M299" s="227"/>
      <c r="N299" s="386"/>
    </row>
    <row r="300" spans="1:14" s="158" customFormat="1" ht="15" x14ac:dyDescent="0.25">
      <c r="A300" s="159" t="s">
        <v>141</v>
      </c>
      <c r="B300" s="409">
        <v>6402</v>
      </c>
      <c r="C300" s="160">
        <v>2229</v>
      </c>
      <c r="D300" s="156"/>
      <c r="E300" s="48" t="s">
        <v>33</v>
      </c>
      <c r="F300" s="239"/>
      <c r="G300" s="182">
        <v>101</v>
      </c>
      <c r="H300" s="182">
        <v>101</v>
      </c>
      <c r="I300" s="17">
        <f t="shared" si="34"/>
        <v>100</v>
      </c>
      <c r="K300" s="227"/>
      <c r="L300" s="227"/>
      <c r="M300" s="227"/>
      <c r="N300" s="386"/>
    </row>
    <row r="301" spans="1:14" s="115" customFormat="1" x14ac:dyDescent="0.2">
      <c r="A301" s="393" t="s">
        <v>141</v>
      </c>
      <c r="B301" s="120"/>
      <c r="C301" s="120"/>
      <c r="D301" s="122"/>
      <c r="E301" s="113" t="s">
        <v>104</v>
      </c>
      <c r="F301" s="388">
        <v>0</v>
      </c>
      <c r="G301" s="388">
        <f>G295+G299+G300</f>
        <v>6323</v>
      </c>
      <c r="H301" s="388">
        <f>H295+H299+H300+H298</f>
        <v>6333</v>
      </c>
      <c r="I301" s="116">
        <f>(H301/G301)*100</f>
        <v>100.15815277558121</v>
      </c>
      <c r="K301" s="456">
        <v>0</v>
      </c>
      <c r="L301" s="456">
        <v>6322831.3099999996</v>
      </c>
      <c r="M301" s="456">
        <v>6332767.1399999997</v>
      </c>
      <c r="N301" s="385"/>
    </row>
    <row r="302" spans="1:14" s="158" customFormat="1" ht="15" x14ac:dyDescent="0.25">
      <c r="A302" s="159" t="s">
        <v>142</v>
      </c>
      <c r="B302" s="168"/>
      <c r="C302" s="44">
        <v>4116</v>
      </c>
      <c r="D302" s="156"/>
      <c r="E302" s="48" t="s">
        <v>288</v>
      </c>
      <c r="F302" s="239"/>
      <c r="G302" s="182">
        <f>G303+G304</f>
        <v>19111</v>
      </c>
      <c r="H302" s="182">
        <f>H303+H304</f>
        <v>19111</v>
      </c>
      <c r="I302" s="17">
        <f t="shared" ref="I302:I304" si="35">(H302/G302)*100</f>
        <v>100</v>
      </c>
      <c r="K302" s="227"/>
      <c r="L302" s="227"/>
      <c r="M302" s="227"/>
      <c r="N302" s="386"/>
    </row>
    <row r="303" spans="1:14" s="158" customFormat="1" x14ac:dyDescent="0.2">
      <c r="A303" s="159" t="s">
        <v>142</v>
      </c>
      <c r="B303" s="168"/>
      <c r="C303" s="171"/>
      <c r="D303" s="51" t="s">
        <v>269</v>
      </c>
      <c r="E303" s="169" t="s">
        <v>140</v>
      </c>
      <c r="F303" s="239"/>
      <c r="G303" s="170">
        <v>2867</v>
      </c>
      <c r="H303" s="170">
        <v>2867</v>
      </c>
      <c r="I303" s="1">
        <f t="shared" si="35"/>
        <v>100</v>
      </c>
      <c r="K303" s="227"/>
      <c r="L303" s="227"/>
      <c r="M303" s="227"/>
      <c r="N303" s="386"/>
    </row>
    <row r="304" spans="1:14" s="158" customFormat="1" x14ac:dyDescent="0.2">
      <c r="A304" s="159" t="s">
        <v>142</v>
      </c>
      <c r="B304" s="168"/>
      <c r="C304" s="171"/>
      <c r="D304" s="51" t="s">
        <v>270</v>
      </c>
      <c r="E304" s="169" t="s">
        <v>140</v>
      </c>
      <c r="F304" s="239"/>
      <c r="G304" s="170">
        <v>16244</v>
      </c>
      <c r="H304" s="170">
        <v>16244</v>
      </c>
      <c r="I304" s="1">
        <f t="shared" si="35"/>
        <v>100</v>
      </c>
      <c r="K304" s="227"/>
      <c r="L304" s="227"/>
      <c r="M304" s="227"/>
      <c r="N304" s="386"/>
    </row>
    <row r="305" spans="1:14" s="158" customFormat="1" ht="15" x14ac:dyDescent="0.25">
      <c r="A305" s="159" t="s">
        <v>142</v>
      </c>
      <c r="B305" s="409">
        <v>3299</v>
      </c>
      <c r="C305" s="160">
        <v>2141</v>
      </c>
      <c r="D305" s="156"/>
      <c r="E305" s="55" t="s">
        <v>11</v>
      </c>
      <c r="F305" s="239"/>
      <c r="G305" s="170"/>
      <c r="H305" s="182">
        <v>6</v>
      </c>
      <c r="I305" s="17">
        <v>0</v>
      </c>
      <c r="K305" s="227"/>
      <c r="L305" s="227"/>
      <c r="M305" s="227"/>
      <c r="N305" s="386"/>
    </row>
    <row r="306" spans="1:14" s="158" customFormat="1" ht="15" x14ac:dyDescent="0.25">
      <c r="A306" s="159" t="s">
        <v>142</v>
      </c>
      <c r="B306" s="409">
        <v>3299</v>
      </c>
      <c r="C306" s="160">
        <v>2212</v>
      </c>
      <c r="D306" s="156"/>
      <c r="E306" s="54" t="s">
        <v>109</v>
      </c>
      <c r="F306" s="239"/>
      <c r="G306" s="182">
        <v>37</v>
      </c>
      <c r="H306" s="182">
        <v>37</v>
      </c>
      <c r="I306" s="17">
        <f t="shared" ref="I306:I307" si="36">(H306/G306)*100</f>
        <v>100</v>
      </c>
      <c r="K306" s="227"/>
      <c r="L306" s="227"/>
      <c r="M306" s="227"/>
      <c r="N306" s="386"/>
    </row>
    <row r="307" spans="1:14" s="158" customFormat="1" ht="15" x14ac:dyDescent="0.25">
      <c r="A307" s="159" t="s">
        <v>142</v>
      </c>
      <c r="B307" s="409">
        <v>6402</v>
      </c>
      <c r="C307" s="160">
        <v>2229</v>
      </c>
      <c r="D307" s="156"/>
      <c r="E307" s="48" t="s">
        <v>33</v>
      </c>
      <c r="F307" s="239"/>
      <c r="G307" s="182">
        <v>410</v>
      </c>
      <c r="H307" s="182">
        <v>410</v>
      </c>
      <c r="I307" s="17">
        <f t="shared" si="36"/>
        <v>100</v>
      </c>
      <c r="K307" s="227"/>
      <c r="L307" s="227"/>
      <c r="M307" s="227"/>
      <c r="N307" s="386"/>
    </row>
    <row r="308" spans="1:14" s="115" customFormat="1" x14ac:dyDescent="0.2">
      <c r="A308" s="393" t="s">
        <v>142</v>
      </c>
      <c r="B308" s="120"/>
      <c r="C308" s="120"/>
      <c r="D308" s="122"/>
      <c r="E308" s="113" t="s">
        <v>104</v>
      </c>
      <c r="F308" s="388">
        <v>0</v>
      </c>
      <c r="G308" s="388">
        <f>G302+G305+G306+G307</f>
        <v>19558</v>
      </c>
      <c r="H308" s="388">
        <f>H302+H305+H306+H307</f>
        <v>19564</v>
      </c>
      <c r="I308" s="116">
        <f>(H308/G308)*100</f>
        <v>100.03067798343388</v>
      </c>
      <c r="K308" s="456">
        <v>0</v>
      </c>
      <c r="L308" s="456">
        <v>19557825.91</v>
      </c>
      <c r="M308" s="456">
        <v>19564141.09</v>
      </c>
      <c r="N308" s="385"/>
    </row>
    <row r="309" spans="1:14" s="245" customFormat="1" ht="15" x14ac:dyDescent="0.25">
      <c r="A309" s="96" t="s">
        <v>143</v>
      </c>
      <c r="B309" s="246"/>
      <c r="C309" s="44">
        <v>4116</v>
      </c>
      <c r="D309" s="156"/>
      <c r="E309" s="48" t="s">
        <v>288</v>
      </c>
      <c r="F309" s="244"/>
      <c r="G309" s="244">
        <f>G310+G311</f>
        <v>3733</v>
      </c>
      <c r="H309" s="244">
        <f>H310+H311</f>
        <v>451</v>
      </c>
      <c r="I309" s="17">
        <f t="shared" ref="I309" si="37">(H309/G309)*100</f>
        <v>12.081435842485936</v>
      </c>
      <c r="K309" s="462"/>
      <c r="L309" s="462"/>
      <c r="M309" s="462"/>
      <c r="N309" s="410"/>
    </row>
    <row r="310" spans="1:14" s="245" customFormat="1" x14ac:dyDescent="0.2">
      <c r="A310" s="96" t="s">
        <v>143</v>
      </c>
      <c r="B310" s="246"/>
      <c r="C310" s="243"/>
      <c r="D310" s="247" t="s">
        <v>247</v>
      </c>
      <c r="E310" s="248" t="s">
        <v>160</v>
      </c>
      <c r="F310" s="244"/>
      <c r="G310" s="76">
        <v>560</v>
      </c>
      <c r="H310" s="76">
        <v>68</v>
      </c>
      <c r="I310" s="1">
        <f t="shared" ref="I310:I311" si="38">(H310/G310)*100</f>
        <v>12.142857142857142</v>
      </c>
      <c r="K310" s="299"/>
      <c r="L310" s="299"/>
      <c r="M310" s="299"/>
      <c r="N310" s="410"/>
    </row>
    <row r="311" spans="1:14" s="245" customFormat="1" x14ac:dyDescent="0.2">
      <c r="A311" s="96" t="s">
        <v>143</v>
      </c>
      <c r="B311" s="246"/>
      <c r="C311" s="243"/>
      <c r="D311" s="247" t="s">
        <v>249</v>
      </c>
      <c r="E311" s="248" t="s">
        <v>160</v>
      </c>
      <c r="F311" s="244"/>
      <c r="G311" s="76">
        <v>3173</v>
      </c>
      <c r="H311" s="76">
        <v>383</v>
      </c>
      <c r="I311" s="1">
        <f t="shared" si="38"/>
        <v>12.070595650803655</v>
      </c>
      <c r="K311" s="299"/>
      <c r="L311" s="299"/>
      <c r="M311" s="299"/>
      <c r="N311" s="410"/>
    </row>
    <row r="312" spans="1:14" s="245" customFormat="1" ht="15" x14ac:dyDescent="0.25">
      <c r="A312" s="96" t="s">
        <v>143</v>
      </c>
      <c r="B312" s="409">
        <v>3299</v>
      </c>
      <c r="C312" s="160">
        <v>2141</v>
      </c>
      <c r="D312" s="156"/>
      <c r="E312" s="55" t="s">
        <v>11</v>
      </c>
      <c r="F312" s="239"/>
      <c r="G312" s="182"/>
      <c r="H312" s="182">
        <v>1</v>
      </c>
      <c r="I312" s="17">
        <v>0</v>
      </c>
      <c r="K312" s="299"/>
      <c r="L312" s="299"/>
      <c r="M312" s="299"/>
      <c r="N312" s="410"/>
    </row>
    <row r="313" spans="1:14" s="115" customFormat="1" x14ac:dyDescent="0.2">
      <c r="A313" s="393" t="s">
        <v>143</v>
      </c>
      <c r="B313" s="120"/>
      <c r="C313" s="120"/>
      <c r="D313" s="122"/>
      <c r="E313" s="113" t="s">
        <v>104</v>
      </c>
      <c r="F313" s="388">
        <v>0</v>
      </c>
      <c r="G313" s="388">
        <f>G309+G312</f>
        <v>3733</v>
      </c>
      <c r="H313" s="388">
        <f>H309+H312</f>
        <v>452</v>
      </c>
      <c r="I313" s="116">
        <f>(H313/G313)*100</f>
        <v>12.108223948566836</v>
      </c>
      <c r="K313" s="456">
        <v>0</v>
      </c>
      <c r="L313" s="456">
        <v>3733178.65</v>
      </c>
      <c r="M313" s="456">
        <v>452451.84000000003</v>
      </c>
      <c r="N313" s="385"/>
    </row>
    <row r="314" spans="1:14" s="158" customFormat="1" ht="15" x14ac:dyDescent="0.25">
      <c r="A314" s="159" t="s">
        <v>144</v>
      </c>
      <c r="B314" s="249"/>
      <c r="C314" s="44">
        <v>4116</v>
      </c>
      <c r="D314" s="156"/>
      <c r="E314" s="48" t="s">
        <v>288</v>
      </c>
      <c r="F314" s="239"/>
      <c r="G314" s="182">
        <f>G315+G316</f>
        <v>3802</v>
      </c>
      <c r="H314" s="182">
        <f>H315+H316</f>
        <v>3802</v>
      </c>
      <c r="I314" s="17">
        <f t="shared" ref="I314:I316" si="39">(H314/G314)*100</f>
        <v>100</v>
      </c>
      <c r="K314" s="227"/>
      <c r="L314" s="227"/>
      <c r="M314" s="227"/>
      <c r="N314" s="386"/>
    </row>
    <row r="315" spans="1:14" s="158" customFormat="1" x14ac:dyDescent="0.2">
      <c r="A315" s="159" t="s">
        <v>144</v>
      </c>
      <c r="B315" s="249"/>
      <c r="C315" s="160"/>
      <c r="D315" s="230" t="s">
        <v>273</v>
      </c>
      <c r="E315" s="169" t="s">
        <v>161</v>
      </c>
      <c r="F315" s="239"/>
      <c r="G315" s="170">
        <v>570</v>
      </c>
      <c r="H315" s="170">
        <v>570</v>
      </c>
      <c r="I315" s="1">
        <f t="shared" si="39"/>
        <v>100</v>
      </c>
      <c r="K315" s="227"/>
      <c r="L315" s="227"/>
      <c r="M315" s="227"/>
      <c r="N315" s="386"/>
    </row>
    <row r="316" spans="1:14" s="158" customFormat="1" x14ac:dyDescent="0.2">
      <c r="A316" s="159" t="s">
        <v>144</v>
      </c>
      <c r="B316" s="249"/>
      <c r="C316" s="160"/>
      <c r="D316" s="230" t="s">
        <v>274</v>
      </c>
      <c r="E316" s="169" t="s">
        <v>161</v>
      </c>
      <c r="F316" s="239"/>
      <c r="G316" s="170">
        <v>3232</v>
      </c>
      <c r="H316" s="170">
        <v>3232</v>
      </c>
      <c r="I316" s="1">
        <f t="shared" si="39"/>
        <v>100</v>
      </c>
      <c r="K316" s="227"/>
      <c r="L316" s="227"/>
      <c r="M316" s="227"/>
      <c r="N316" s="386"/>
    </row>
    <row r="317" spans="1:14" s="158" customFormat="1" ht="15" x14ac:dyDescent="0.25">
      <c r="A317" s="159" t="s">
        <v>144</v>
      </c>
      <c r="B317" s="409">
        <v>3299</v>
      </c>
      <c r="C317" s="160">
        <v>2141</v>
      </c>
      <c r="D317" s="156"/>
      <c r="E317" s="55" t="s">
        <v>11</v>
      </c>
      <c r="F317" s="239"/>
      <c r="G317" s="182"/>
      <c r="H317" s="182">
        <v>3</v>
      </c>
      <c r="I317" s="17">
        <v>0</v>
      </c>
      <c r="K317" s="227"/>
      <c r="L317" s="227"/>
      <c r="M317" s="227"/>
      <c r="N317" s="386"/>
    </row>
    <row r="318" spans="1:14" s="115" customFormat="1" x14ac:dyDescent="0.2">
      <c r="A318" s="393" t="s">
        <v>144</v>
      </c>
      <c r="B318" s="120"/>
      <c r="C318" s="120"/>
      <c r="D318" s="122"/>
      <c r="E318" s="113" t="s">
        <v>104</v>
      </c>
      <c r="F318" s="388">
        <v>0</v>
      </c>
      <c r="G318" s="388">
        <f>G314</f>
        <v>3802</v>
      </c>
      <c r="H318" s="388">
        <f>H314+H317</f>
        <v>3805</v>
      </c>
      <c r="I318" s="116">
        <f>(H318/G318)*100</f>
        <v>100.07890583903209</v>
      </c>
      <c r="K318" s="456">
        <v>0</v>
      </c>
      <c r="L318" s="456">
        <v>3802074.24</v>
      </c>
      <c r="M318" s="456">
        <v>3804505.91</v>
      </c>
      <c r="N318" s="385"/>
    </row>
    <row r="319" spans="1:14" s="158" customFormat="1" ht="15" x14ac:dyDescent="0.25">
      <c r="A319" s="159" t="s">
        <v>162</v>
      </c>
      <c r="B319" s="249"/>
      <c r="C319" s="44">
        <v>4116</v>
      </c>
      <c r="D319" s="156"/>
      <c r="E319" s="48" t="s">
        <v>288</v>
      </c>
      <c r="F319" s="239"/>
      <c r="G319" s="182">
        <f>G320+G321</f>
        <v>60</v>
      </c>
      <c r="H319" s="182">
        <f>H320+H321</f>
        <v>60</v>
      </c>
      <c r="I319" s="17">
        <f t="shared" ref="I319:I321" si="40">(H319/G319)*100</f>
        <v>100</v>
      </c>
      <c r="K319" s="227"/>
      <c r="L319" s="227"/>
      <c r="M319" s="227"/>
      <c r="N319" s="386"/>
    </row>
    <row r="320" spans="1:14" s="158" customFormat="1" x14ac:dyDescent="0.2">
      <c r="A320" s="159" t="s">
        <v>162</v>
      </c>
      <c r="B320" s="249"/>
      <c r="C320" s="160"/>
      <c r="D320" s="230" t="s">
        <v>273</v>
      </c>
      <c r="E320" s="169" t="s">
        <v>161</v>
      </c>
      <c r="F320" s="239"/>
      <c r="G320" s="170">
        <v>9</v>
      </c>
      <c r="H320" s="170">
        <v>9</v>
      </c>
      <c r="I320" s="1">
        <f t="shared" si="40"/>
        <v>100</v>
      </c>
      <c r="K320" s="227"/>
      <c r="L320" s="227"/>
      <c r="M320" s="227"/>
      <c r="N320" s="386"/>
    </row>
    <row r="321" spans="1:22" s="158" customFormat="1" x14ac:dyDescent="0.2">
      <c r="A321" s="159" t="s">
        <v>162</v>
      </c>
      <c r="B321" s="249"/>
      <c r="C321" s="160"/>
      <c r="D321" s="230" t="s">
        <v>274</v>
      </c>
      <c r="E321" s="169" t="s">
        <v>161</v>
      </c>
      <c r="F321" s="239"/>
      <c r="G321" s="170">
        <v>51</v>
      </c>
      <c r="H321" s="170">
        <v>51</v>
      </c>
      <c r="I321" s="1">
        <f t="shared" si="40"/>
        <v>100</v>
      </c>
      <c r="K321" s="227"/>
      <c r="L321" s="227"/>
      <c r="M321" s="227"/>
      <c r="N321" s="386"/>
    </row>
    <row r="322" spans="1:22" s="115" customFormat="1" x14ac:dyDescent="0.2">
      <c r="A322" s="393" t="s">
        <v>162</v>
      </c>
      <c r="B322" s="120"/>
      <c r="C322" s="120"/>
      <c r="D322" s="122"/>
      <c r="E322" s="113" t="s">
        <v>104</v>
      </c>
      <c r="F322" s="388">
        <v>0</v>
      </c>
      <c r="G322" s="388">
        <f>G319</f>
        <v>60</v>
      </c>
      <c r="H322" s="388">
        <f>H319</f>
        <v>60</v>
      </c>
      <c r="I322" s="116">
        <f>(H322/G322)*100</f>
        <v>100</v>
      </c>
      <c r="K322" s="456">
        <v>0</v>
      </c>
      <c r="L322" s="456">
        <v>59952.08</v>
      </c>
      <c r="M322" s="456">
        <v>59987.18</v>
      </c>
      <c r="N322" s="385"/>
    </row>
    <row r="323" spans="1:22" s="158" customFormat="1" ht="15" x14ac:dyDescent="0.25">
      <c r="A323" s="159" t="s">
        <v>163</v>
      </c>
      <c r="B323" s="168"/>
      <c r="C323" s="44">
        <v>4116</v>
      </c>
      <c r="D323" s="156"/>
      <c r="E323" s="48" t="s">
        <v>288</v>
      </c>
      <c r="F323" s="239"/>
      <c r="G323" s="182">
        <f>G324+G325</f>
        <v>23</v>
      </c>
      <c r="H323" s="182">
        <f>H324+H325</f>
        <v>23</v>
      </c>
      <c r="I323" s="17">
        <f t="shared" ref="I323:I325" si="41">(H323/G323)*100</f>
        <v>100</v>
      </c>
      <c r="K323" s="227"/>
      <c r="L323" s="227"/>
      <c r="M323" s="227"/>
      <c r="N323" s="386"/>
    </row>
    <row r="324" spans="1:22" s="158" customFormat="1" x14ac:dyDescent="0.2">
      <c r="A324" s="159" t="s">
        <v>163</v>
      </c>
      <c r="B324" s="168"/>
      <c r="C324" s="160"/>
      <c r="D324" s="230" t="s">
        <v>273</v>
      </c>
      <c r="E324" s="169" t="s">
        <v>161</v>
      </c>
      <c r="F324" s="239"/>
      <c r="G324" s="170">
        <v>4</v>
      </c>
      <c r="H324" s="170">
        <v>4</v>
      </c>
      <c r="I324" s="1">
        <f t="shared" si="41"/>
        <v>100</v>
      </c>
      <c r="K324" s="227"/>
      <c r="L324" s="227"/>
      <c r="M324" s="227"/>
      <c r="N324" s="386"/>
    </row>
    <row r="325" spans="1:22" s="158" customFormat="1" x14ac:dyDescent="0.2">
      <c r="A325" s="159" t="s">
        <v>163</v>
      </c>
      <c r="B325" s="168"/>
      <c r="C325" s="160"/>
      <c r="D325" s="230" t="s">
        <v>274</v>
      </c>
      <c r="E325" s="169" t="s">
        <v>161</v>
      </c>
      <c r="F325" s="239"/>
      <c r="G325" s="170">
        <v>19</v>
      </c>
      <c r="H325" s="170">
        <v>19</v>
      </c>
      <c r="I325" s="1">
        <f t="shared" si="41"/>
        <v>100</v>
      </c>
      <c r="K325" s="227"/>
      <c r="L325" s="227"/>
      <c r="M325" s="227"/>
      <c r="N325" s="386"/>
    </row>
    <row r="326" spans="1:22" s="115" customFormat="1" x14ac:dyDescent="0.2">
      <c r="A326" s="393" t="s">
        <v>163</v>
      </c>
      <c r="B326" s="120"/>
      <c r="C326" s="120"/>
      <c r="D326" s="122"/>
      <c r="E326" s="113" t="s">
        <v>104</v>
      </c>
      <c r="F326" s="388">
        <v>0</v>
      </c>
      <c r="G326" s="388">
        <f>G323</f>
        <v>23</v>
      </c>
      <c r="H326" s="388">
        <f>H323</f>
        <v>23</v>
      </c>
      <c r="I326" s="116">
        <f>(H326/G326)*100</f>
        <v>100</v>
      </c>
      <c r="K326" s="456">
        <v>0</v>
      </c>
      <c r="L326" s="456">
        <v>22832.17</v>
      </c>
      <c r="M326" s="456">
        <v>22866.62</v>
      </c>
      <c r="N326" s="457"/>
    </row>
    <row r="327" spans="1:22" s="158" customFormat="1" ht="15" x14ac:dyDescent="0.25">
      <c r="A327" s="159" t="s">
        <v>164</v>
      </c>
      <c r="B327" s="168"/>
      <c r="C327" s="44">
        <v>4116</v>
      </c>
      <c r="D327" s="156"/>
      <c r="E327" s="48" t="s">
        <v>288</v>
      </c>
      <c r="F327" s="239"/>
      <c r="G327" s="182">
        <v>13</v>
      </c>
      <c r="H327" s="182">
        <v>13</v>
      </c>
      <c r="I327" s="17">
        <f t="shared" ref="I327:I328" si="42">(H327/G327)*100</f>
        <v>100</v>
      </c>
      <c r="K327" s="463"/>
      <c r="L327" s="463"/>
      <c r="M327" s="463"/>
      <c r="N327" s="464"/>
    </row>
    <row r="328" spans="1:22" s="158" customFormat="1" x14ac:dyDescent="0.2">
      <c r="A328" s="159" t="s">
        <v>164</v>
      </c>
      <c r="B328" s="104"/>
      <c r="C328" s="44"/>
      <c r="D328" s="51" t="s">
        <v>256</v>
      </c>
      <c r="E328" s="291" t="s">
        <v>187</v>
      </c>
      <c r="F328" s="228"/>
      <c r="G328" s="237">
        <v>13</v>
      </c>
      <c r="H328" s="237">
        <v>13</v>
      </c>
      <c r="I328" s="1">
        <f t="shared" si="42"/>
        <v>100</v>
      </c>
      <c r="K328" s="227"/>
      <c r="L328" s="227"/>
      <c r="M328" s="227"/>
      <c r="N328" s="386"/>
    </row>
    <row r="329" spans="1:22" s="158" customFormat="1" ht="15" x14ac:dyDescent="0.25">
      <c r="A329" s="159" t="s">
        <v>164</v>
      </c>
      <c r="B329" s="106"/>
      <c r="C329" s="44">
        <v>4118</v>
      </c>
      <c r="D329" s="67"/>
      <c r="E329" s="52" t="s">
        <v>63</v>
      </c>
      <c r="F329" s="228"/>
      <c r="G329" s="280">
        <v>222</v>
      </c>
      <c r="H329" s="280">
        <v>222</v>
      </c>
      <c r="I329" s="17">
        <f t="shared" ref="I329:I332" si="43">(H329/G329)*100</f>
        <v>100</v>
      </c>
      <c r="K329" s="227"/>
      <c r="L329" s="227"/>
      <c r="M329" s="227"/>
      <c r="N329" s="386"/>
      <c r="Q329" s="312">
        <v>1815955</v>
      </c>
      <c r="R329" s="312"/>
      <c r="S329" s="315">
        <v>1815955264.96</v>
      </c>
      <c r="T329" s="312" t="s">
        <v>198</v>
      </c>
      <c r="U329" s="312"/>
      <c r="V329" s="312"/>
    </row>
    <row r="330" spans="1:22" s="158" customFormat="1" x14ac:dyDescent="0.2">
      <c r="A330" s="292" t="s">
        <v>164</v>
      </c>
      <c r="B330" s="168"/>
      <c r="C330" s="171"/>
      <c r="D330" s="66" t="s">
        <v>262</v>
      </c>
      <c r="E330" s="125" t="s">
        <v>115</v>
      </c>
      <c r="F330" s="239"/>
      <c r="G330" s="170">
        <v>222</v>
      </c>
      <c r="H330" s="170">
        <v>222</v>
      </c>
      <c r="I330" s="1">
        <f t="shared" si="43"/>
        <v>100</v>
      </c>
      <c r="K330" s="227"/>
      <c r="L330" s="227"/>
      <c r="M330" s="227"/>
      <c r="N330" s="386"/>
      <c r="Q330" s="312">
        <v>1035643</v>
      </c>
      <c r="R330" s="312"/>
      <c r="S330" s="315">
        <v>1035643334.61</v>
      </c>
      <c r="T330" s="312" t="s">
        <v>199</v>
      </c>
      <c r="U330" s="312"/>
      <c r="V330" s="312"/>
    </row>
    <row r="331" spans="1:22" s="158" customFormat="1" ht="15" x14ac:dyDescent="0.25">
      <c r="A331" s="292" t="s">
        <v>164</v>
      </c>
      <c r="B331" s="168"/>
      <c r="C331" s="110">
        <v>4123</v>
      </c>
      <c r="D331" s="51"/>
      <c r="E331" s="52" t="s">
        <v>59</v>
      </c>
      <c r="F331" s="239"/>
      <c r="G331" s="182">
        <v>6967</v>
      </c>
      <c r="H331" s="182">
        <v>6967</v>
      </c>
      <c r="I331" s="17">
        <f t="shared" si="43"/>
        <v>100</v>
      </c>
      <c r="K331" s="227"/>
      <c r="L331" s="227"/>
      <c r="M331" s="227"/>
      <c r="N331" s="386"/>
      <c r="Q331" s="158">
        <f>Q329-Q330</f>
        <v>780312</v>
      </c>
      <c r="S331" s="316">
        <f>S329-S330</f>
        <v>780311930.35000002</v>
      </c>
    </row>
    <row r="332" spans="1:22" s="158" customFormat="1" ht="15" thickBot="1" x14ac:dyDescent="0.25">
      <c r="A332" s="292" t="s">
        <v>164</v>
      </c>
      <c r="B332" s="168"/>
      <c r="C332" s="131"/>
      <c r="D332" s="66" t="s">
        <v>258</v>
      </c>
      <c r="E332" s="152" t="s">
        <v>62</v>
      </c>
      <c r="F332" s="239"/>
      <c r="G332" s="170">
        <v>6966</v>
      </c>
      <c r="H332" s="170">
        <v>6966</v>
      </c>
      <c r="I332" s="1">
        <f t="shared" si="43"/>
        <v>100</v>
      </c>
      <c r="K332" s="227"/>
      <c r="L332" s="227"/>
      <c r="M332" s="227"/>
      <c r="N332" s="386"/>
      <c r="O332" s="158" t="s">
        <v>189</v>
      </c>
      <c r="P332" s="158" t="s">
        <v>190</v>
      </c>
      <c r="Q332" s="158" t="s">
        <v>191</v>
      </c>
    </row>
    <row r="333" spans="1:22" s="115" customFormat="1" ht="15" thickBot="1" x14ac:dyDescent="0.25">
      <c r="A333" s="411" t="s">
        <v>164</v>
      </c>
      <c r="B333" s="345"/>
      <c r="C333" s="345"/>
      <c r="D333" s="346"/>
      <c r="E333" s="347" t="s">
        <v>104</v>
      </c>
      <c r="F333" s="412">
        <v>0</v>
      </c>
      <c r="G333" s="412">
        <f>G327+G329+G331</f>
        <v>7202</v>
      </c>
      <c r="H333" s="412">
        <f>H327+H329+H331</f>
        <v>7202</v>
      </c>
      <c r="I333" s="349">
        <f>(H333/G333)*100</f>
        <v>100</v>
      </c>
      <c r="K333" s="456">
        <v>0</v>
      </c>
      <c r="L333" s="456">
        <v>7201891.5199999996</v>
      </c>
      <c r="M333" s="456">
        <v>7201596.54</v>
      </c>
      <c r="N333" s="385"/>
      <c r="O333" s="313">
        <f>F209+F211+F215+F220+F223+F226+F233+F254+F259+F265+F279+F294+F301+F308+F313+F318+F322+F326+F333+F346+F284</f>
        <v>0</v>
      </c>
      <c r="P333" s="313">
        <f>G209+G211+G215+G220+G223+G226+G233+G254+G259+G265+G279+G294+G301+G308+G313+G318+G322+G326+G333+G346+G284</f>
        <v>981103</v>
      </c>
      <c r="Q333" s="313">
        <f>H209+H211+H215+H220+H223+H226+H233+H254+H259+H265+H279+H294+H301+H308+H313+H318+H322+H326+H333+H346+H284</f>
        <v>780313</v>
      </c>
      <c r="R333" s="314">
        <f>L209+L211+L215+L220+L223+L226+L233+L254+L259+L265+L279+L294+L301+L308+L313+L318+L322+L326+L333+L346+L284</f>
        <v>981102959.96999979</v>
      </c>
      <c r="S333" s="314">
        <f>M209+M211+M215+M220+M223+M226+M233+M254+M259+M265+M279+M294+M301+M308+M313+M318+M322+M326+M333+M346+M284</f>
        <v>780311930.35000002</v>
      </c>
      <c r="T333" s="313" t="s">
        <v>170</v>
      </c>
    </row>
    <row r="334" spans="1:22" s="158" customFormat="1" ht="15.75" thickTop="1" x14ac:dyDescent="0.25">
      <c r="A334" s="413"/>
      <c r="B334" s="350"/>
      <c r="C334" s="350"/>
      <c r="D334" s="351"/>
      <c r="E334" s="352"/>
      <c r="F334" s="448">
        <f>F279+F284+F294+F301+F308+F313+F318+F322+F326+F333</f>
        <v>0</v>
      </c>
      <c r="G334" s="448">
        <f>G279+G284+G294+G301+G308+G313+G318+G322+G326+G333</f>
        <v>159827</v>
      </c>
      <c r="H334" s="448">
        <f>H279+H284+H294+H301+H308+H313+H318+H322+H326+H333</f>
        <v>156530</v>
      </c>
      <c r="I334" s="353"/>
      <c r="K334" s="227">
        <f>K279+K284+K294+K301+K308+K313+K318+K322+K326+K333</f>
        <v>0</v>
      </c>
      <c r="L334" s="227">
        <f>L279+L284+L294+L301+L308+L313+L318+L322+L326+L333</f>
        <v>159826387.64000002</v>
      </c>
      <c r="M334" s="227">
        <f>M279+M284+M294+M301+M308+M313+M318+M322+M326+M333</f>
        <v>156529092.84999999</v>
      </c>
      <c r="N334" s="386"/>
      <c r="R334" s="316"/>
      <c r="S334" s="316"/>
    </row>
    <row r="335" spans="1:22" s="158" customFormat="1" ht="15" x14ac:dyDescent="0.25">
      <c r="A335" s="163"/>
      <c r="B335" s="162"/>
      <c r="C335" s="162"/>
      <c r="D335" s="166"/>
      <c r="E335" s="157"/>
      <c r="F335" s="447"/>
      <c r="G335" s="447"/>
      <c r="H335" s="447"/>
      <c r="I335" s="348"/>
      <c r="K335" s="227"/>
      <c r="L335" s="227"/>
      <c r="M335" s="227"/>
      <c r="N335" s="386"/>
      <c r="R335" s="316"/>
      <c r="S335" s="316"/>
    </row>
    <row r="336" spans="1:22" ht="13.5" customHeight="1" thickBot="1" x14ac:dyDescent="0.25">
      <c r="A336" s="95"/>
      <c r="G336" s="30"/>
      <c r="I336" s="32" t="s">
        <v>0</v>
      </c>
    </row>
    <row r="337" spans="1:14" s="37" customFormat="1" ht="20.25" customHeight="1" thickTop="1" thickBot="1" x14ac:dyDescent="0.25">
      <c r="A337" s="74" t="s">
        <v>73</v>
      </c>
      <c r="B337" s="72" t="s">
        <v>13</v>
      </c>
      <c r="C337" s="33" t="s">
        <v>2</v>
      </c>
      <c r="D337" s="450" t="s">
        <v>326</v>
      </c>
      <c r="E337" s="34" t="s">
        <v>3</v>
      </c>
      <c r="F337" s="35" t="s">
        <v>4</v>
      </c>
      <c r="G337" s="35" t="s">
        <v>5</v>
      </c>
      <c r="H337" s="35" t="s">
        <v>18</v>
      </c>
      <c r="I337" s="36" t="s">
        <v>19</v>
      </c>
      <c r="K337" s="154"/>
      <c r="L337" s="154"/>
      <c r="M337" s="154"/>
      <c r="N337" s="361"/>
    </row>
    <row r="338" spans="1:14" s="38" customFormat="1" ht="12.75" thickTop="1" x14ac:dyDescent="0.2">
      <c r="A338" s="90">
        <v>1</v>
      </c>
      <c r="B338" s="85">
        <v>2</v>
      </c>
      <c r="C338" s="86">
        <v>3</v>
      </c>
      <c r="D338" s="85">
        <v>4</v>
      </c>
      <c r="E338" s="86">
        <v>5</v>
      </c>
      <c r="F338" s="85">
        <v>6</v>
      </c>
      <c r="G338" s="87">
        <v>7</v>
      </c>
      <c r="H338" s="88">
        <v>8</v>
      </c>
      <c r="I338" s="89" t="s">
        <v>74</v>
      </c>
      <c r="J338" s="37"/>
      <c r="K338" s="213"/>
      <c r="L338" s="213"/>
      <c r="M338" s="213"/>
      <c r="N338" s="362"/>
    </row>
    <row r="339" spans="1:14" s="158" customFormat="1" ht="15" x14ac:dyDescent="0.25">
      <c r="A339" s="159" t="s">
        <v>186</v>
      </c>
      <c r="B339" s="249"/>
      <c r="C339" s="44">
        <v>4116</v>
      </c>
      <c r="D339" s="156"/>
      <c r="E339" s="48" t="s">
        <v>288</v>
      </c>
      <c r="F339" s="239"/>
      <c r="G339" s="182">
        <f>G340+G341</f>
        <v>40264</v>
      </c>
      <c r="H339" s="182">
        <f>H340+H341</f>
        <v>40264</v>
      </c>
      <c r="I339" s="17">
        <f t="shared" ref="I339:I341" si="44">(H339/G339)*100</f>
        <v>100</v>
      </c>
      <c r="K339" s="227"/>
      <c r="L339" s="227"/>
      <c r="M339" s="227"/>
      <c r="N339" s="386"/>
    </row>
    <row r="340" spans="1:14" s="158" customFormat="1" x14ac:dyDescent="0.2">
      <c r="A340" s="159" t="s">
        <v>186</v>
      </c>
      <c r="B340" s="249"/>
      <c r="C340" s="160"/>
      <c r="D340" s="247" t="s">
        <v>247</v>
      </c>
      <c r="E340" s="248" t="s">
        <v>160</v>
      </c>
      <c r="F340" s="239"/>
      <c r="G340" s="170">
        <v>6040</v>
      </c>
      <c r="H340" s="170">
        <v>6040</v>
      </c>
      <c r="I340" s="1">
        <f t="shared" si="44"/>
        <v>100</v>
      </c>
      <c r="K340" s="227"/>
      <c r="L340" s="227"/>
      <c r="M340" s="227"/>
      <c r="N340" s="386"/>
    </row>
    <row r="341" spans="1:14" s="158" customFormat="1" x14ac:dyDescent="0.2">
      <c r="A341" s="159" t="s">
        <v>186</v>
      </c>
      <c r="B341" s="249"/>
      <c r="C341" s="160"/>
      <c r="D341" s="247" t="s">
        <v>249</v>
      </c>
      <c r="E341" s="248" t="s">
        <v>160</v>
      </c>
      <c r="F341" s="239"/>
      <c r="G341" s="170">
        <v>34224</v>
      </c>
      <c r="H341" s="170">
        <v>34224</v>
      </c>
      <c r="I341" s="1">
        <f t="shared" si="44"/>
        <v>100</v>
      </c>
      <c r="K341" s="227"/>
      <c r="L341" s="227"/>
      <c r="M341" s="227"/>
      <c r="N341" s="386"/>
    </row>
    <row r="342" spans="1:14" s="158" customFormat="1" ht="15" x14ac:dyDescent="0.25">
      <c r="A342" s="159" t="s">
        <v>186</v>
      </c>
      <c r="B342" s="249"/>
      <c r="C342" s="160">
        <v>4216</v>
      </c>
      <c r="D342" s="230"/>
      <c r="E342" s="52" t="s">
        <v>121</v>
      </c>
      <c r="F342" s="239"/>
      <c r="G342" s="182">
        <f>G343+G344</f>
        <v>17445</v>
      </c>
      <c r="H342" s="182">
        <f>H343+H344</f>
        <v>17445</v>
      </c>
      <c r="I342" s="17">
        <f t="shared" ref="I342" si="45">(H342/G342)*100</f>
        <v>100</v>
      </c>
      <c r="K342" s="227"/>
      <c r="L342" s="227"/>
      <c r="M342" s="227"/>
      <c r="N342" s="386"/>
    </row>
    <row r="343" spans="1:14" s="158" customFormat="1" x14ac:dyDescent="0.2">
      <c r="A343" s="159" t="s">
        <v>186</v>
      </c>
      <c r="B343" s="249"/>
      <c r="C343" s="160"/>
      <c r="D343" s="230" t="s">
        <v>275</v>
      </c>
      <c r="E343" s="169" t="s">
        <v>188</v>
      </c>
      <c r="F343" s="239"/>
      <c r="G343" s="170">
        <v>2617</v>
      </c>
      <c r="H343" s="170">
        <v>2617</v>
      </c>
      <c r="I343" s="1">
        <f t="shared" ref="I343:I344" si="46">(H343/G343)*100</f>
        <v>100</v>
      </c>
      <c r="K343" s="227"/>
      <c r="L343" s="227"/>
      <c r="M343" s="227"/>
      <c r="N343" s="386"/>
    </row>
    <row r="344" spans="1:14" s="158" customFormat="1" x14ac:dyDescent="0.2">
      <c r="A344" s="159" t="s">
        <v>186</v>
      </c>
      <c r="B344" s="249"/>
      <c r="C344" s="160"/>
      <c r="D344" s="230" t="s">
        <v>276</v>
      </c>
      <c r="E344" s="169" t="s">
        <v>188</v>
      </c>
      <c r="F344" s="239"/>
      <c r="G344" s="170">
        <v>14828</v>
      </c>
      <c r="H344" s="170">
        <v>14828</v>
      </c>
      <c r="I344" s="1">
        <f t="shared" si="46"/>
        <v>100</v>
      </c>
      <c r="K344" s="227"/>
      <c r="L344" s="227"/>
      <c r="M344" s="227"/>
      <c r="N344" s="386"/>
    </row>
    <row r="345" spans="1:14" s="158" customFormat="1" ht="15" x14ac:dyDescent="0.25">
      <c r="A345" s="159" t="s">
        <v>186</v>
      </c>
      <c r="B345" s="409">
        <v>3299</v>
      </c>
      <c r="C345" s="160">
        <v>2141</v>
      </c>
      <c r="D345" s="156"/>
      <c r="E345" s="55" t="s">
        <v>11</v>
      </c>
      <c r="F345" s="239"/>
      <c r="G345" s="182"/>
      <c r="H345" s="182">
        <v>13</v>
      </c>
      <c r="I345" s="17">
        <v>0</v>
      </c>
      <c r="K345" s="227"/>
      <c r="L345" s="227"/>
      <c r="M345" s="227"/>
      <c r="N345" s="386"/>
    </row>
    <row r="346" spans="1:14" s="115" customFormat="1" x14ac:dyDescent="0.2">
      <c r="A346" s="393" t="s">
        <v>186</v>
      </c>
      <c r="B346" s="120"/>
      <c r="C346" s="120"/>
      <c r="D346" s="122"/>
      <c r="E346" s="113" t="s">
        <v>104</v>
      </c>
      <c r="F346" s="388">
        <v>0</v>
      </c>
      <c r="G346" s="388">
        <f>G339+G342</f>
        <v>57709</v>
      </c>
      <c r="H346" s="388">
        <f>H339+H342+H345</f>
        <v>57722</v>
      </c>
      <c r="I346" s="116">
        <f>(H346/G346)*100</f>
        <v>100.02252681557468</v>
      </c>
      <c r="K346" s="456">
        <v>0</v>
      </c>
      <c r="L346" s="456">
        <v>57708952.969999999</v>
      </c>
      <c r="M346" s="456">
        <v>57721611.710000001</v>
      </c>
      <c r="N346" s="385"/>
    </row>
    <row r="347" spans="1:14" ht="15" x14ac:dyDescent="0.25">
      <c r="A347" s="96" t="s">
        <v>100</v>
      </c>
      <c r="B347" s="414"/>
      <c r="C347" s="109">
        <v>4132</v>
      </c>
      <c r="D347" s="68"/>
      <c r="E347" s="63" t="s">
        <v>29</v>
      </c>
      <c r="F347" s="180"/>
      <c r="G347" s="181"/>
      <c r="H347" s="188">
        <v>580</v>
      </c>
      <c r="I347" s="17">
        <v>0</v>
      </c>
    </row>
    <row r="348" spans="1:14" ht="15" x14ac:dyDescent="0.25">
      <c r="A348" s="96" t="s">
        <v>100</v>
      </c>
      <c r="B348" s="414"/>
      <c r="C348" s="109">
        <v>4134</v>
      </c>
      <c r="D348" s="68"/>
      <c r="E348" s="59" t="s">
        <v>20</v>
      </c>
      <c r="F348" s="177">
        <v>6388</v>
      </c>
      <c r="G348" s="181">
        <v>6922</v>
      </c>
      <c r="H348" s="188">
        <v>6075</v>
      </c>
      <c r="I348" s="17">
        <f>(H348/G348)*100</f>
        <v>87.76365212366369</v>
      </c>
      <c r="M348" s="136">
        <v>6074500</v>
      </c>
      <c r="N348" s="21" t="s">
        <v>165</v>
      </c>
    </row>
    <row r="349" spans="1:14" ht="15" x14ac:dyDescent="0.25">
      <c r="A349" s="96" t="s">
        <v>100</v>
      </c>
      <c r="B349" s="409">
        <v>6172</v>
      </c>
      <c r="C349" s="109">
        <v>2324</v>
      </c>
      <c r="D349" s="68"/>
      <c r="E349" s="60" t="s">
        <v>22</v>
      </c>
      <c r="F349" s="180"/>
      <c r="G349" s="181"/>
      <c r="H349" s="188">
        <v>33</v>
      </c>
      <c r="I349" s="17">
        <v>0</v>
      </c>
    </row>
    <row r="350" spans="1:14" ht="15" x14ac:dyDescent="0.25">
      <c r="A350" s="96" t="s">
        <v>100</v>
      </c>
      <c r="B350" s="409">
        <v>6310</v>
      </c>
      <c r="C350" s="109">
        <v>2141</v>
      </c>
      <c r="D350" s="68"/>
      <c r="E350" s="55" t="s">
        <v>11</v>
      </c>
      <c r="F350" s="177">
        <v>3</v>
      </c>
      <c r="G350" s="181">
        <v>3</v>
      </c>
      <c r="H350" s="188">
        <v>1</v>
      </c>
      <c r="I350" s="17">
        <f>(H350/G350)*100</f>
        <v>33.333333333333329</v>
      </c>
    </row>
    <row r="351" spans="1:14" s="115" customFormat="1" x14ac:dyDescent="0.2">
      <c r="A351" s="393" t="s">
        <v>100</v>
      </c>
      <c r="B351" s="120"/>
      <c r="C351" s="120"/>
      <c r="D351" s="122"/>
      <c r="E351" s="113" t="s">
        <v>104</v>
      </c>
      <c r="F351" s="384">
        <f>SUM(F347:F350)</f>
        <v>6391</v>
      </c>
      <c r="G351" s="384">
        <f>SUM(G347:G350)</f>
        <v>6925</v>
      </c>
      <c r="H351" s="384">
        <f>SUM(H347:H350)</f>
        <v>6689</v>
      </c>
      <c r="I351" s="116">
        <f>(H351/G351)*100</f>
        <v>96.592057761732846</v>
      </c>
      <c r="K351" s="456">
        <v>6391000</v>
      </c>
      <c r="L351" s="456">
        <v>6925000</v>
      </c>
      <c r="M351" s="456">
        <v>6689044.5099999998</v>
      </c>
      <c r="N351" s="385"/>
    </row>
    <row r="352" spans="1:14" ht="15" x14ac:dyDescent="0.25">
      <c r="A352" s="96" t="s">
        <v>101</v>
      </c>
      <c r="B352" s="409">
        <v>2399</v>
      </c>
      <c r="C352" s="109">
        <v>2342</v>
      </c>
      <c r="D352" s="68"/>
      <c r="E352" s="59" t="s">
        <v>102</v>
      </c>
      <c r="F352" s="177">
        <v>40000</v>
      </c>
      <c r="G352" s="178">
        <v>40000</v>
      </c>
      <c r="H352" s="223">
        <v>63514</v>
      </c>
      <c r="I352" s="61">
        <f>(H352/G352)*100</f>
        <v>158.785</v>
      </c>
    </row>
    <row r="353" spans="1:17" ht="15" x14ac:dyDescent="0.25">
      <c r="A353" s="96" t="s">
        <v>101</v>
      </c>
      <c r="B353" s="409">
        <v>6172</v>
      </c>
      <c r="C353" s="109">
        <v>2211</v>
      </c>
      <c r="D353" s="68"/>
      <c r="E353" s="149" t="s">
        <v>108</v>
      </c>
      <c r="F353" s="177"/>
      <c r="G353" s="178"/>
      <c r="H353" s="223">
        <v>10</v>
      </c>
      <c r="I353" s="61">
        <v>0</v>
      </c>
    </row>
    <row r="354" spans="1:17" ht="15" x14ac:dyDescent="0.25">
      <c r="A354" s="96" t="s">
        <v>101</v>
      </c>
      <c r="B354" s="409">
        <v>6402</v>
      </c>
      <c r="C354" s="109">
        <v>2223</v>
      </c>
      <c r="D354" s="68"/>
      <c r="E354" s="60" t="s">
        <v>39</v>
      </c>
      <c r="F354" s="177"/>
      <c r="G354" s="179"/>
      <c r="H354" s="223">
        <v>1710</v>
      </c>
      <c r="I354" s="61">
        <v>0</v>
      </c>
    </row>
    <row r="355" spans="1:17" ht="15" x14ac:dyDescent="0.25">
      <c r="A355" s="96" t="s">
        <v>101</v>
      </c>
      <c r="B355" s="409">
        <v>6409</v>
      </c>
      <c r="C355" s="109">
        <v>2328</v>
      </c>
      <c r="D355" s="68"/>
      <c r="E355" s="48" t="s">
        <v>14</v>
      </c>
      <c r="F355" s="177"/>
      <c r="G355" s="179"/>
      <c r="H355" s="223">
        <v>-3</v>
      </c>
      <c r="I355" s="61">
        <v>0</v>
      </c>
    </row>
    <row r="356" spans="1:17" s="115" customFormat="1" ht="15" thickBot="1" x14ac:dyDescent="0.25">
      <c r="A356" s="334" t="s">
        <v>101</v>
      </c>
      <c r="B356" s="336"/>
      <c r="C356" s="336"/>
      <c r="D356" s="337"/>
      <c r="E356" s="338" t="s">
        <v>104</v>
      </c>
      <c r="F356" s="396">
        <f>SUM(F352:F355)</f>
        <v>40000</v>
      </c>
      <c r="G356" s="396">
        <f>G352+G354</f>
        <v>40000</v>
      </c>
      <c r="H356" s="396">
        <f>H352+H354+H355+H353</f>
        <v>65231</v>
      </c>
      <c r="I356" s="344">
        <f>(H356/G356)*100</f>
        <v>163.07750000000001</v>
      </c>
      <c r="K356" s="456">
        <v>40000000</v>
      </c>
      <c r="L356" s="456">
        <v>40000000</v>
      </c>
      <c r="M356" s="456">
        <v>65231076.700000003</v>
      </c>
      <c r="N356" s="457"/>
    </row>
    <row r="357" spans="1:17" ht="15.75" thickTop="1" x14ac:dyDescent="0.25">
      <c r="A357" s="97"/>
      <c r="B357" s="98"/>
      <c r="C357" s="98"/>
      <c r="D357" s="98"/>
      <c r="E357" s="98"/>
      <c r="F357" s="449">
        <f>F346+F351+F356</f>
        <v>46391</v>
      </c>
      <c r="G357" s="449">
        <f>G346+G351+G356</f>
        <v>104634</v>
      </c>
      <c r="H357" s="449">
        <f>H346+H351+H356</f>
        <v>129642</v>
      </c>
      <c r="I357" s="415"/>
      <c r="K357" s="136">
        <f>K356+K351+K346+K333+K326+K322+K318+K313+K308+K301+K294+K284+K279+K265</f>
        <v>46391000</v>
      </c>
      <c r="L357" s="136">
        <f>L346+L351+L356</f>
        <v>104633952.97</v>
      </c>
      <c r="M357" s="136">
        <f>M356+M351+M346</f>
        <v>129641732.92000002</v>
      </c>
    </row>
    <row r="358" spans="1:17" ht="15" x14ac:dyDescent="0.25">
      <c r="A358" s="97"/>
      <c r="B358" s="98"/>
      <c r="C358" s="98"/>
      <c r="D358" s="98"/>
      <c r="E358" s="98"/>
      <c r="F358" s="355"/>
      <c r="G358" s="355"/>
      <c r="H358" s="355"/>
      <c r="I358" s="415"/>
      <c r="K358" s="154"/>
      <c r="L358" s="154"/>
      <c r="M358" s="154"/>
    </row>
    <row r="359" spans="1:17" ht="15" x14ac:dyDescent="0.25">
      <c r="A359" s="97"/>
      <c r="B359" s="98"/>
      <c r="C359" s="98"/>
      <c r="D359" s="98"/>
      <c r="E359" s="98"/>
      <c r="F359" s="355"/>
      <c r="G359" s="355"/>
      <c r="H359" s="355"/>
      <c r="I359" s="415"/>
      <c r="K359" s="154"/>
      <c r="L359" s="154"/>
      <c r="M359" s="154"/>
    </row>
    <row r="360" spans="1:17" s="15" customFormat="1" ht="25.5" customHeight="1" x14ac:dyDescent="0.25">
      <c r="A360" s="99" t="s">
        <v>6</v>
      </c>
      <c r="B360" s="99"/>
      <c r="C360" s="100"/>
      <c r="D360" s="101"/>
      <c r="E360" s="100"/>
      <c r="F360" s="416">
        <f>F357+F334+F266+F197+F132+F61</f>
        <v>3584615</v>
      </c>
      <c r="G360" s="416">
        <f>G357+G334+G266+G197+G132+G61</f>
        <v>10379153</v>
      </c>
      <c r="H360" s="416">
        <f>H357+H334+H266+H197+H132+H61</f>
        <v>11155772</v>
      </c>
      <c r="I360" s="272">
        <f>(H360/G360)*100</f>
        <v>107.48248917806684</v>
      </c>
      <c r="K360" s="417">
        <f>K357+K334+K266+K197+K132+K61</f>
        <v>3584615000</v>
      </c>
      <c r="L360" s="417">
        <f>L357+L334+L266+L197+L132+L61</f>
        <v>10379152832.66</v>
      </c>
      <c r="M360" s="417">
        <f>M357+M334+M266+M197+M132+M61</f>
        <v>11155771985.220001</v>
      </c>
      <c r="N360" s="361"/>
      <c r="O360" s="418" t="s">
        <v>196</v>
      </c>
      <c r="P360" s="251">
        <v>1035643334.61</v>
      </c>
      <c r="Q360" s="311" t="s">
        <v>197</v>
      </c>
    </row>
    <row r="361" spans="1:17" s="15" customFormat="1" ht="21.75" customHeight="1" x14ac:dyDescent="0.2">
      <c r="A361" s="49" t="s">
        <v>23</v>
      </c>
      <c r="B361" s="49"/>
      <c r="C361" s="28"/>
      <c r="D361" s="29"/>
      <c r="E361" s="482"/>
      <c r="F361" s="185">
        <f>SUM(F348)</f>
        <v>6388</v>
      </c>
      <c r="G361" s="185">
        <f>SUM(G348)</f>
        <v>6922</v>
      </c>
      <c r="H361" s="185">
        <f>SUM(H348,H77)</f>
        <v>741983</v>
      </c>
      <c r="I361" s="483">
        <f>(H361/G361)*100</f>
        <v>10719.1996532794</v>
      </c>
      <c r="K361" s="379">
        <v>6388000</v>
      </c>
      <c r="L361" s="379">
        <v>6922000</v>
      </c>
      <c r="M361" s="379">
        <f>SUM(M348,P361)</f>
        <v>741982654.72000003</v>
      </c>
      <c r="N361" s="361"/>
      <c r="O361" s="419" t="s">
        <v>195</v>
      </c>
      <c r="P361" s="251">
        <v>735908154.72000003</v>
      </c>
      <c r="Q361" s="250" t="s">
        <v>324</v>
      </c>
    </row>
    <row r="362" spans="1:17" s="15" customFormat="1" ht="35.25" customHeight="1" thickBot="1" x14ac:dyDescent="0.3">
      <c r="A362" s="102" t="s">
        <v>103</v>
      </c>
      <c r="B362" s="102"/>
      <c r="C362" s="102"/>
      <c r="D362" s="102"/>
      <c r="E362" s="102"/>
      <c r="F362" s="420">
        <f>SUM(F360-F361)</f>
        <v>3578227</v>
      </c>
      <c r="G362" s="420">
        <f>SUM(G360-G361)</f>
        <v>10372231</v>
      </c>
      <c r="H362" s="420">
        <f>SUM(H360-H361)</f>
        <v>10413789</v>
      </c>
      <c r="I362" s="273">
        <f>(H362/G362)*100</f>
        <v>100.400665970513</v>
      </c>
      <c r="K362" s="379">
        <f>K360-K361</f>
        <v>3578227000</v>
      </c>
      <c r="L362" s="379">
        <f>L360-L361</f>
        <v>10372230832.66</v>
      </c>
      <c r="M362" s="379">
        <f>M360-M361</f>
        <v>10413789330.500002</v>
      </c>
      <c r="N362" s="379"/>
      <c r="O362" s="421"/>
    </row>
    <row r="363" spans="1:17" ht="15.75" thickTop="1" x14ac:dyDescent="0.25">
      <c r="A363" s="97"/>
      <c r="B363" s="98"/>
      <c r="C363" s="98"/>
      <c r="D363" s="98"/>
      <c r="E363" s="98"/>
      <c r="F363" s="274"/>
      <c r="G363" s="59"/>
      <c r="H363" s="275"/>
      <c r="I363" s="276"/>
    </row>
    <row r="364" spans="1:17" s="15" customFormat="1" ht="15.75" customHeight="1" x14ac:dyDescent="0.25">
      <c r="A364" s="422"/>
      <c r="B364" s="422"/>
      <c r="C364" s="422"/>
      <c r="D364" s="422"/>
      <c r="E364" s="422"/>
      <c r="F364" s="277"/>
      <c r="G364" s="277"/>
      <c r="H364" s="277"/>
      <c r="I364" s="278"/>
      <c r="K364" s="154"/>
      <c r="L364" s="154"/>
      <c r="M364" s="154"/>
      <c r="N364" s="361"/>
    </row>
    <row r="365" spans="1:17" s="15" customFormat="1" ht="18" x14ac:dyDescent="0.25">
      <c r="A365" s="423" t="s">
        <v>26</v>
      </c>
      <c r="B365" s="423"/>
      <c r="C365" s="424"/>
      <c r="D365" s="425"/>
      <c r="E365" s="426"/>
      <c r="F365" s="426"/>
      <c r="G365" s="221"/>
      <c r="H365" s="2"/>
      <c r="I365" s="2"/>
      <c r="K365" s="154"/>
      <c r="L365" s="154"/>
      <c r="M365" s="154"/>
      <c r="N365" s="361"/>
    </row>
    <row r="366" spans="1:17" x14ac:dyDescent="0.2">
      <c r="A366" s="427" t="s">
        <v>27</v>
      </c>
      <c r="B366" s="427"/>
      <c r="C366" s="427"/>
      <c r="D366" s="428"/>
      <c r="E366" s="427"/>
      <c r="F366" s="427"/>
    </row>
    <row r="367" spans="1:17" x14ac:dyDescent="0.2">
      <c r="B367" s="427"/>
      <c r="C367" s="427"/>
      <c r="D367" s="428"/>
      <c r="E367" s="427"/>
      <c r="F367" s="427"/>
      <c r="H367" s="31"/>
    </row>
    <row r="368" spans="1:17" x14ac:dyDescent="0.2">
      <c r="C368" s="294"/>
      <c r="D368" s="266"/>
    </row>
    <row r="369" spans="1:16" x14ac:dyDescent="0.2">
      <c r="C369" s="294"/>
      <c r="D369" s="266"/>
      <c r="E369" s="266"/>
      <c r="G369" s="30"/>
    </row>
    <row r="370" spans="1:16" s="262" customFormat="1" x14ac:dyDescent="0.2">
      <c r="A370" s="429"/>
      <c r="B370" s="430"/>
      <c r="C370" s="269"/>
      <c r="D370" s="263"/>
      <c r="E370" s="263"/>
      <c r="F370" s="258"/>
      <c r="G370" s="258"/>
      <c r="H370" s="258"/>
      <c r="I370" s="258"/>
      <c r="K370" s="261"/>
      <c r="L370" s="261"/>
      <c r="M370" s="261"/>
      <c r="N370" s="431"/>
    </row>
    <row r="371" spans="1:16" s="262" customFormat="1" x14ac:dyDescent="0.2">
      <c r="A371" s="429"/>
      <c r="B371" s="430"/>
      <c r="C371" s="269"/>
      <c r="D371" s="268" t="s">
        <v>151</v>
      </c>
      <c r="E371" s="263"/>
      <c r="F371" s="258">
        <f>SUM(F351)</f>
        <v>6391</v>
      </c>
      <c r="G371" s="258">
        <f>SUM(G351)</f>
        <v>6925</v>
      </c>
      <c r="H371" s="258">
        <f>SUM(H351)</f>
        <v>6689</v>
      </c>
      <c r="I371" s="258"/>
      <c r="K371" s="467">
        <f>SUM(K351)</f>
        <v>6391000</v>
      </c>
      <c r="L371" s="467">
        <f>SUM(L351)</f>
        <v>6925000</v>
      </c>
      <c r="M371" s="467">
        <f>SUM(M351)</f>
        <v>6689044.5099999998</v>
      </c>
      <c r="N371" s="432"/>
    </row>
    <row r="372" spans="1:16" s="262" customFormat="1" x14ac:dyDescent="0.2">
      <c r="A372" s="429"/>
      <c r="B372" s="430"/>
      <c r="C372" s="269"/>
      <c r="D372" s="268" t="s">
        <v>152</v>
      </c>
      <c r="E372" s="263"/>
      <c r="F372" s="258">
        <f>SUM(F356)</f>
        <v>40000</v>
      </c>
      <c r="G372" s="258">
        <f t="shared" ref="G372:H372" si="47">SUM(G356)</f>
        <v>40000</v>
      </c>
      <c r="H372" s="258">
        <f t="shared" si="47"/>
        <v>65231</v>
      </c>
      <c r="I372" s="258"/>
      <c r="J372" s="258"/>
      <c r="K372" s="467">
        <f>SUM(K356)</f>
        <v>40000000</v>
      </c>
      <c r="L372" s="467">
        <f t="shared" ref="L372:M372" si="48">SUM(L356)</f>
        <v>40000000</v>
      </c>
      <c r="M372" s="467">
        <f t="shared" si="48"/>
        <v>65231076.700000003</v>
      </c>
      <c r="N372" s="432"/>
    </row>
    <row r="373" spans="1:16" s="262" customFormat="1" x14ac:dyDescent="0.2">
      <c r="A373" s="429"/>
      <c r="B373" s="430"/>
      <c r="C373" s="269"/>
      <c r="D373" s="268" t="s">
        <v>146</v>
      </c>
      <c r="E373" s="263"/>
      <c r="F373" s="258">
        <f>SUM(F196,F192,F188,F182,F175,F168,F163,F114,F105,F100,F31,F28,F22,F12,F8,F207)</f>
        <v>3538224</v>
      </c>
      <c r="G373" s="258">
        <f>SUM(G196,G192,G188,G182,G175,G168,G163,G114,G105,G100,G31,G28,G22,G12,G8,G207)</f>
        <v>9351125</v>
      </c>
      <c r="H373" s="258">
        <f>SUM(H196,H192,H188,H182,H175,H168,H163,H114,H105,H100,H31,H28,H22,H12,H8,H207)</f>
        <v>10303539</v>
      </c>
      <c r="I373" s="258"/>
      <c r="J373" s="258"/>
      <c r="K373" s="467">
        <f>SUM(K8,K12,K22,K28,K31,K100,K105,K114,K163,K168,K175,K182,K188,K192,K196,K207)</f>
        <v>3538224000</v>
      </c>
      <c r="L373" s="467">
        <f t="shared" ref="L373:M373" si="49">SUM(L8,L12,L22,L28,L31,L100,L105,L114,L163,L168,L175,L182,L188,L192,L196,L207)</f>
        <v>9351124872.6899986</v>
      </c>
      <c r="M373" s="467">
        <f t="shared" si="49"/>
        <v>10303539933.660002</v>
      </c>
      <c r="N373" s="432"/>
    </row>
    <row r="374" spans="1:16" s="262" customFormat="1" x14ac:dyDescent="0.2">
      <c r="A374" s="429"/>
      <c r="B374" s="430"/>
      <c r="C374" s="269"/>
      <c r="D374" s="268" t="s">
        <v>145</v>
      </c>
      <c r="F374" s="258">
        <f>SUM(F209,F211,F215,F220,F223,F233,F254,F259,F265,F279,F284,F294,F301,F308,F313,F318,F226,F322,F326,F333,F346)</f>
        <v>0</v>
      </c>
      <c r="G374" s="258">
        <f>SUM(G209,G211,G215,G220,G223,G233,G254,G259,G265,G279,G284,G294,G301,G308,G313,G318,G226,G322,G326,G333,G346)</f>
        <v>981103</v>
      </c>
      <c r="H374" s="258">
        <f>SUM(H209,H211,H215,H220,H223,H233,H254,H259,H265,H279,H284,H294,H301,H308,H313,H318,H226,H322,H326,H333,H346)</f>
        <v>780313</v>
      </c>
      <c r="I374" s="258"/>
      <c r="J374" s="258"/>
      <c r="K374" s="467">
        <f>SUM(K209,K211,K215,K220,K223,K226,K233,K254,K259,K265,K279,K294,K301,K308,K313,K318,K322,K326,K333,K346+K284)</f>
        <v>0</v>
      </c>
      <c r="L374" s="467">
        <f t="shared" ref="L374:M374" si="50">SUM(L209,L211,L215,L220,L223,L226,L233,L254,L259,L265,L279,L294,L301,L308,L313,L318,L322,L326,L333,L346+L284)</f>
        <v>981102959.96999979</v>
      </c>
      <c r="M374" s="467">
        <f t="shared" si="50"/>
        <v>780311930.3499999</v>
      </c>
      <c r="N374" s="258"/>
    </row>
    <row r="375" spans="1:16" s="262" customFormat="1" ht="15" thickBot="1" x14ac:dyDescent="0.25">
      <c r="A375" s="429"/>
      <c r="B375" s="430"/>
      <c r="C375" s="269"/>
      <c r="D375" s="433"/>
      <c r="E375" s="434"/>
      <c r="F375" s="259">
        <f>F371+F372+F373+F374</f>
        <v>3584615</v>
      </c>
      <c r="G375" s="259">
        <f>G371+G372+G373+G374</f>
        <v>10379153</v>
      </c>
      <c r="H375" s="259">
        <f>H371+H372+H373+H374</f>
        <v>11155772</v>
      </c>
      <c r="I375" s="184"/>
      <c r="J375" s="259"/>
      <c r="K375" s="468">
        <f>K371+K372+K373+K374</f>
        <v>3584615000</v>
      </c>
      <c r="L375" s="468">
        <f t="shared" ref="L375:M375" si="51">L371+L372+L373+L374</f>
        <v>10379152832.659998</v>
      </c>
      <c r="M375" s="468">
        <f t="shared" si="51"/>
        <v>11155771985.220001</v>
      </c>
      <c r="N375" s="432"/>
    </row>
    <row r="376" spans="1:16" s="262" customFormat="1" ht="15" thickTop="1" x14ac:dyDescent="0.2">
      <c r="A376" s="429"/>
      <c r="B376" s="430"/>
      <c r="C376" s="269"/>
      <c r="D376" s="436" t="s">
        <v>194</v>
      </c>
      <c r="E376" s="437"/>
      <c r="F376" s="438">
        <v>6388</v>
      </c>
      <c r="G376" s="439">
        <v>6922</v>
      </c>
      <c r="H376" s="438">
        <v>741983</v>
      </c>
      <c r="I376" s="184"/>
      <c r="J376" s="440"/>
      <c r="K376" s="441">
        <v>6388000</v>
      </c>
      <c r="L376" s="441">
        <v>6922000</v>
      </c>
      <c r="M376" s="441">
        <v>741982654.72000003</v>
      </c>
      <c r="N376" s="432"/>
    </row>
    <row r="377" spans="1:16" s="262" customFormat="1" ht="15" thickBot="1" x14ac:dyDescent="0.25">
      <c r="A377" s="429"/>
      <c r="B377" s="430"/>
      <c r="C377" s="269"/>
      <c r="D377" s="442" t="s">
        <v>169</v>
      </c>
      <c r="E377" s="443"/>
      <c r="F377" s="259">
        <f>F375-F376</f>
        <v>3578227</v>
      </c>
      <c r="G377" s="259">
        <f>G375-G376</f>
        <v>10372231</v>
      </c>
      <c r="H377" s="259">
        <f>H375-H376</f>
        <v>10413789</v>
      </c>
      <c r="I377" s="184"/>
      <c r="J377" s="444"/>
      <c r="K377" s="270">
        <f>K375-K376</f>
        <v>3578227000</v>
      </c>
      <c r="L377" s="270">
        <f>L375-L376</f>
        <v>10372230832.659998</v>
      </c>
      <c r="M377" s="270">
        <f>M375-M376</f>
        <v>10413789330.500002</v>
      </c>
      <c r="N377" s="432"/>
    </row>
    <row r="378" spans="1:16" s="262" customFormat="1" ht="15" thickTop="1" x14ac:dyDescent="0.2">
      <c r="A378" s="429"/>
      <c r="B378" s="430"/>
      <c r="C378" s="269"/>
      <c r="D378" s="263"/>
      <c r="E378" s="264"/>
      <c r="F378" s="258"/>
      <c r="G378" s="265"/>
      <c r="H378" s="258"/>
      <c r="I378" s="184"/>
      <c r="K378" s="261"/>
      <c r="L378" s="261"/>
      <c r="M378" s="261"/>
      <c r="N378" s="432"/>
    </row>
    <row r="379" spans="1:16" s="262" customFormat="1" x14ac:dyDescent="0.2">
      <c r="A379" s="429"/>
      <c r="B379" s="430"/>
      <c r="C379" s="269"/>
      <c r="D379" s="263"/>
      <c r="E379" s="264"/>
      <c r="F379" s="258"/>
      <c r="G379" s="265"/>
      <c r="H379" s="258"/>
      <c r="I379" s="184"/>
      <c r="K379" s="261"/>
      <c r="L379" s="261"/>
      <c r="M379" s="261"/>
      <c r="N379" s="432"/>
    </row>
    <row r="380" spans="1:16" s="262" customFormat="1" x14ac:dyDescent="0.2">
      <c r="A380" s="429"/>
      <c r="B380" s="430"/>
      <c r="C380" s="269"/>
      <c r="D380" s="268" t="s">
        <v>147</v>
      </c>
      <c r="E380" s="264"/>
      <c r="F380" s="258">
        <f>SUM(F189,F183,F176,F169:F169,F115,F106,F32:F38,F29,F13)</f>
        <v>3196712</v>
      </c>
      <c r="G380" s="258">
        <f>SUM(G189,G183,G176,G169:G169,G115,G106,G32:G38,G29,G13)</f>
        <v>3204159</v>
      </c>
      <c r="H380" s="258">
        <f>SUM(H189,H183,H176,H169:H169,H115,H106,H32:H38,H29,H13)</f>
        <v>3427194</v>
      </c>
      <c r="I380" s="184"/>
      <c r="K380" s="260">
        <v>3196712000</v>
      </c>
      <c r="L380" s="260">
        <v>3204159330</v>
      </c>
      <c r="M380" s="260">
        <v>3427194311.0100002</v>
      </c>
      <c r="N380" s="432"/>
    </row>
    <row r="381" spans="1:16" s="262" customFormat="1" x14ac:dyDescent="0.2">
      <c r="A381" s="429"/>
      <c r="B381" s="430"/>
      <c r="C381" s="269"/>
      <c r="D381" s="268" t="s">
        <v>148</v>
      </c>
      <c r="E381" s="264"/>
      <c r="F381" s="258">
        <f>SUM(F7,F9:F11,F14:F19,F23:F25,F30,F20,F21,F191,F195,F203,F206,F208,F227,F232,F253,F258,F292,F293,F299,F300,F306,F307,F39:F39,F84,F86:F99,F102:F104,F107:F113,F160:F162,F167:F167,F171:F174,F177:F181,F184:F187,F190,F193:F194,F205,F210,F221:F222,F224:F225,F228:F230,F277:F278,F291,F298,F305,F312,F317,F345,F349:F350,F352:F355)</f>
        <v>289261</v>
      </c>
      <c r="G381" s="258">
        <f>SUM(G7,G9:G11,G14:G19,G23:G25,G30,G20,G21,G191,G195,G203,G206,G208,G227,G232,G253,G258,G292,G293,G299,G300,G306,G307,G39:G39,G84,G86:G99,G102:G104,G107:G113,G160:G162,G167:G167,G171:G174,G177:G181,G184:G187,G190,G193:G194,G205,G210,G221:G222,G224:G225,G228:G230,G277:G278,G291,G298,G305,G312,G317,G345,G349:G350,G352:G355)</f>
        <v>269822</v>
      </c>
      <c r="H381" s="258">
        <f>SUM(H7,H9:H11,H14:H19,H23:H25,H30,H20,H21,H191,H195,H203,H206,H208,H227,H232,H253,H258,H292,H293,H299,H300,H306,H307,H39:H39,H84,H86:H99,H102:H104,H107:H113,H160:H162,H167:H167,H171:H174,H177:H181,H184:H187,H85,H159,H190,H193:H194,H205,H210,H221:H222,H224:H225,H228:H230,H277:H278,H291,H298,H305,H312,H317,H345,H349:H350,H352:H355)</f>
        <v>302196</v>
      </c>
      <c r="I381" s="184"/>
      <c r="K381" s="260">
        <v>289261000</v>
      </c>
      <c r="L381" s="260">
        <v>269821808.49000001</v>
      </c>
      <c r="M381" s="260">
        <v>302195702.36000001</v>
      </c>
      <c r="N381" s="432"/>
    </row>
    <row r="382" spans="1:16" s="262" customFormat="1" x14ac:dyDescent="0.2">
      <c r="A382" s="429"/>
      <c r="B382" s="430"/>
      <c r="C382" s="269"/>
      <c r="D382" s="268" t="s">
        <v>149</v>
      </c>
      <c r="E382" s="264"/>
      <c r="F382" s="258">
        <f>SUM(F26:F27,)</f>
        <v>18400</v>
      </c>
      <c r="G382" s="258">
        <f>SUM(G26:G27,)</f>
        <v>18400</v>
      </c>
      <c r="H382" s="258">
        <f>SUM(H26:H27)</f>
        <v>6489</v>
      </c>
      <c r="I382" s="184"/>
      <c r="K382" s="260">
        <v>18400000</v>
      </c>
      <c r="L382" s="260">
        <v>18400000</v>
      </c>
      <c r="M382" s="260">
        <v>6488943.4000000004</v>
      </c>
      <c r="N382" s="432"/>
      <c r="O382" s="432"/>
    </row>
    <row r="383" spans="1:16" s="262" customFormat="1" x14ac:dyDescent="0.2">
      <c r="A383" s="429"/>
      <c r="B383" s="430"/>
      <c r="C383" s="269"/>
      <c r="D383" s="268" t="s">
        <v>150</v>
      </c>
      <c r="E383" s="264"/>
      <c r="F383" s="258">
        <f>F50+F348+F40+F51+F164+F170+F212+F244+F262+F347+F76+F77+F78+F80+F82+F101+F116+F213+F216+F218+F234+F236+F242+F246+F251+F255+F260+F263+F271+F274+F280+F285+F288+F295+F302+F309+F314+F319+F323+F327+F329+F331+F339+F342+F345</f>
        <v>80242</v>
      </c>
      <c r="G383" s="258">
        <f>G50+G348+G40+G51+G164+G170+G212+G244+G262+G347+G76+G77+G78+G80+G82+G101+G116+G213+G216+G218+G234+G236+G242+G246+G251+G255+G260+G263+G271+G274+G280+G285+G288+G295+G302+G309+G314+G319+G323+G327+G329+G331+G339+G342+G345</f>
        <v>6886772</v>
      </c>
      <c r="H383" s="258">
        <f>SUM(H40,H50,H51,H76,H77,H78,H80,H82,H101,H116,H164,H170,H212,H213,H216,H218,H234,H236,H242,H244,H246,H251,H255,H260,H262,H263,H271,H274,H280,H285,H288,H295,H302,H309,H314,H319,H323,H327,H329,H331,H339,H342,H347,H348)</f>
        <v>7419893</v>
      </c>
      <c r="I383" s="184"/>
      <c r="K383" s="260">
        <v>80242000</v>
      </c>
      <c r="L383" s="260">
        <v>6886771693.8699999</v>
      </c>
      <c r="M383" s="260">
        <v>7419893028.4499998</v>
      </c>
      <c r="N383" s="432">
        <v>6804024</v>
      </c>
      <c r="O383" s="432">
        <v>6602202709.8400002</v>
      </c>
      <c r="P383" s="432" t="s">
        <v>325</v>
      </c>
    </row>
    <row r="384" spans="1:16" s="262" customFormat="1" ht="15" thickBot="1" x14ac:dyDescent="0.25">
      <c r="A384" s="429"/>
      <c r="B384" s="430"/>
      <c r="C384" s="269"/>
      <c r="D384" s="433"/>
      <c r="E384" s="434"/>
      <c r="F384" s="259">
        <f>F380+F381+F382+F383</f>
        <v>3584615</v>
      </c>
      <c r="G384" s="259">
        <f>G380+G381+G382+G383</f>
        <v>10379153</v>
      </c>
      <c r="H384" s="259">
        <f>H380+H381+H382+H383</f>
        <v>11155772</v>
      </c>
      <c r="I384" s="184"/>
      <c r="J384" s="259"/>
      <c r="K384" s="435">
        <f>K380+K381+K382+K383</f>
        <v>3584615000</v>
      </c>
      <c r="L384" s="435">
        <f>L380+L381+L382+L383</f>
        <v>10379152832.360001</v>
      </c>
      <c r="M384" s="435">
        <f>M380+M381+M382+M383</f>
        <v>11155771985.220001</v>
      </c>
      <c r="N384" s="432"/>
    </row>
    <row r="385" spans="1:14" s="262" customFormat="1" ht="15" thickTop="1" x14ac:dyDescent="0.2">
      <c r="A385" s="429"/>
      <c r="B385" s="430"/>
      <c r="C385" s="269"/>
      <c r="D385" s="263"/>
      <c r="E385" s="264"/>
      <c r="F385" s="258"/>
      <c r="G385" s="265"/>
      <c r="H385" s="258"/>
      <c r="I385" s="184"/>
      <c r="K385" s="261"/>
      <c r="L385" s="261"/>
      <c r="M385" s="261"/>
      <c r="N385" s="432"/>
    </row>
    <row r="386" spans="1:14" s="262" customFormat="1" x14ac:dyDescent="0.2">
      <c r="A386" s="429"/>
      <c r="B386" s="430"/>
      <c r="C386" s="269"/>
      <c r="D386" s="263" t="s">
        <v>166</v>
      </c>
      <c r="E386" s="269">
        <v>8115</v>
      </c>
      <c r="F386" s="258">
        <v>257333</v>
      </c>
      <c r="G386" s="265">
        <v>808187</v>
      </c>
      <c r="H386" s="258">
        <v>808187</v>
      </c>
      <c r="I386" s="184"/>
      <c r="K386" s="260">
        <v>257333000</v>
      </c>
      <c r="L386" s="260">
        <v>808186809.45000005</v>
      </c>
      <c r="M386" s="260">
        <v>808186809.45000005</v>
      </c>
      <c r="N386" s="432"/>
    </row>
    <row r="387" spans="1:14" s="262" customFormat="1" x14ac:dyDescent="0.2">
      <c r="A387" s="429"/>
      <c r="B387" s="430"/>
      <c r="C387" s="269"/>
      <c r="D387" s="263"/>
      <c r="E387" s="269">
        <v>8123</v>
      </c>
      <c r="F387" s="258">
        <v>0</v>
      </c>
      <c r="G387" s="265">
        <v>0</v>
      </c>
      <c r="H387" s="258">
        <v>0</v>
      </c>
      <c r="I387" s="184"/>
      <c r="K387" s="260">
        <v>0</v>
      </c>
      <c r="L387" s="260">
        <v>0</v>
      </c>
      <c r="M387" s="260">
        <v>0</v>
      </c>
      <c r="N387" s="432"/>
    </row>
    <row r="388" spans="1:14" s="262" customFormat="1" x14ac:dyDescent="0.2">
      <c r="A388" s="429"/>
      <c r="B388" s="430"/>
      <c r="C388" s="269"/>
      <c r="D388" s="263"/>
      <c r="E388" s="269">
        <v>8223</v>
      </c>
      <c r="F388" s="267">
        <v>0</v>
      </c>
      <c r="G388" s="445">
        <v>0</v>
      </c>
      <c r="H388" s="267">
        <v>0</v>
      </c>
      <c r="I388" s="184"/>
      <c r="K388" s="300">
        <v>0</v>
      </c>
      <c r="L388" s="300">
        <v>0</v>
      </c>
      <c r="M388" s="300">
        <v>0</v>
      </c>
      <c r="N388" s="432"/>
    </row>
    <row r="389" spans="1:14" s="262" customFormat="1" x14ac:dyDescent="0.2">
      <c r="A389" s="429"/>
      <c r="B389" s="430"/>
      <c r="C389" s="269"/>
      <c r="D389" s="268" t="s">
        <v>167</v>
      </c>
      <c r="E389" s="264"/>
      <c r="F389" s="258">
        <f>F384+F387+F388+F386</f>
        <v>3841948</v>
      </c>
      <c r="G389" s="258">
        <f>G384+G387+G388+G386</f>
        <v>11187340</v>
      </c>
      <c r="H389" s="258">
        <f>H384+H387+H388+H386</f>
        <v>11963959</v>
      </c>
      <c r="I389" s="258"/>
      <c r="J389" s="258"/>
      <c r="K389" s="260">
        <f>K384+K387+K388+K386</f>
        <v>3841948000</v>
      </c>
      <c r="L389" s="260">
        <f>L384+L387+L388+L386</f>
        <v>11187339641.810001</v>
      </c>
      <c r="M389" s="260">
        <f>M384+M387+M388+M386</f>
        <v>11963958794.670002</v>
      </c>
      <c r="N389" s="431"/>
    </row>
    <row r="390" spans="1:14" s="262" customFormat="1" x14ac:dyDescent="0.2">
      <c r="A390" s="429"/>
      <c r="B390" s="430"/>
      <c r="C390" s="269"/>
      <c r="D390" s="263" t="s">
        <v>168</v>
      </c>
      <c r="E390" s="264"/>
      <c r="F390" s="267">
        <v>6388</v>
      </c>
      <c r="G390" s="445">
        <v>6922</v>
      </c>
      <c r="H390" s="267">
        <v>741983</v>
      </c>
      <c r="I390" s="184"/>
      <c r="K390" s="260">
        <v>6388000</v>
      </c>
      <c r="L390" s="260">
        <v>6922000</v>
      </c>
      <c r="M390" s="260">
        <f>M361</f>
        <v>741982654.72000003</v>
      </c>
      <c r="N390" s="431"/>
    </row>
    <row r="391" spans="1:14" s="262" customFormat="1" ht="15" thickBot="1" x14ac:dyDescent="0.25">
      <c r="A391" s="429"/>
      <c r="B391" s="430"/>
      <c r="C391" s="269"/>
      <c r="D391" s="268" t="s">
        <v>169</v>
      </c>
      <c r="F391" s="259">
        <f>F389-F390</f>
        <v>3835560</v>
      </c>
      <c r="G391" s="259">
        <f>G389-G390</f>
        <v>11180418</v>
      </c>
      <c r="H391" s="259">
        <f>H389-H390</f>
        <v>11221976</v>
      </c>
      <c r="I391" s="184"/>
      <c r="J391" s="259"/>
      <c r="K391" s="270">
        <f t="shared" ref="K391:M391" si="52">K389-K390</f>
        <v>3835560000</v>
      </c>
      <c r="L391" s="270">
        <f t="shared" si="52"/>
        <v>11180417641.810001</v>
      </c>
      <c r="M391" s="270">
        <f t="shared" si="52"/>
        <v>11221976139.950003</v>
      </c>
      <c r="N391" s="431"/>
    </row>
    <row r="392" spans="1:14" s="262" customFormat="1" ht="15" thickTop="1" x14ac:dyDescent="0.2">
      <c r="A392" s="429"/>
      <c r="B392" s="430"/>
      <c r="C392" s="269"/>
      <c r="D392" s="263"/>
      <c r="F392" s="258"/>
      <c r="G392" s="265"/>
      <c r="H392" s="258"/>
      <c r="I392" s="258"/>
      <c r="K392" s="261"/>
      <c r="L392" s="261"/>
      <c r="M392" s="261"/>
      <c r="N392" s="431"/>
    </row>
    <row r="393" spans="1:14" s="262" customFormat="1" x14ac:dyDescent="0.2">
      <c r="A393" s="429"/>
      <c r="B393" s="430"/>
      <c r="C393" s="269"/>
      <c r="D393" s="263"/>
      <c r="F393" s="258"/>
      <c r="G393" s="265"/>
      <c r="H393" s="258"/>
      <c r="I393" s="258"/>
      <c r="K393" s="261"/>
      <c r="L393" s="261"/>
      <c r="M393" s="261"/>
      <c r="N393" s="431"/>
    </row>
    <row r="394" spans="1:14" s="262" customFormat="1" x14ac:dyDescent="0.2">
      <c r="A394" s="429"/>
      <c r="B394" s="430"/>
      <c r="C394" s="269"/>
      <c r="D394" s="263"/>
      <c r="F394" s="258"/>
      <c r="G394" s="265"/>
      <c r="H394" s="258"/>
      <c r="I394" s="258"/>
      <c r="K394" s="261"/>
      <c r="L394" s="261"/>
      <c r="M394" s="261"/>
      <c r="N394" s="431"/>
    </row>
    <row r="395" spans="1:14" s="262" customFormat="1" x14ac:dyDescent="0.2">
      <c r="A395" s="429"/>
      <c r="B395" s="430"/>
      <c r="C395" s="269"/>
      <c r="D395" s="268"/>
      <c r="F395" s="258"/>
      <c r="G395" s="265"/>
      <c r="H395" s="258"/>
      <c r="I395" s="258"/>
      <c r="K395" s="261"/>
      <c r="L395" s="261"/>
      <c r="M395" s="261"/>
      <c r="N395" s="431"/>
    </row>
    <row r="396" spans="1:14" s="262" customFormat="1" x14ac:dyDescent="0.2">
      <c r="A396" s="429"/>
      <c r="B396" s="430"/>
      <c r="C396" s="269"/>
      <c r="D396" s="268"/>
      <c r="F396" s="258"/>
      <c r="G396" s="265"/>
      <c r="H396" s="258"/>
      <c r="I396" s="258"/>
      <c r="K396" s="261"/>
      <c r="L396" s="261"/>
      <c r="M396" s="261"/>
      <c r="N396" s="431"/>
    </row>
    <row r="397" spans="1:14" x14ac:dyDescent="0.2">
      <c r="C397" s="294"/>
      <c r="D397" s="266"/>
    </row>
    <row r="398" spans="1:14" x14ac:dyDescent="0.2">
      <c r="C398" s="294"/>
      <c r="D398" s="266"/>
    </row>
    <row r="399" spans="1:14" x14ac:dyDescent="0.2">
      <c r="C399" s="294"/>
      <c r="D399" s="266"/>
    </row>
    <row r="400" spans="1:14" x14ac:dyDescent="0.2">
      <c r="C400" s="294"/>
      <c r="D400" s="266"/>
    </row>
    <row r="401" spans="3:4" x14ac:dyDescent="0.2">
      <c r="C401" s="294"/>
      <c r="D401" s="266"/>
    </row>
    <row r="402" spans="3:4" x14ac:dyDescent="0.2">
      <c r="C402" s="294"/>
      <c r="D402" s="266"/>
    </row>
    <row r="403" spans="3:4" x14ac:dyDescent="0.2">
      <c r="C403" s="294"/>
      <c r="D403" s="266"/>
    </row>
    <row r="404" spans="3:4" x14ac:dyDescent="0.2">
      <c r="C404" s="294"/>
      <c r="D404" s="266"/>
    </row>
    <row r="405" spans="3:4" x14ac:dyDescent="0.2">
      <c r="C405" s="294"/>
      <c r="D405" s="266"/>
    </row>
    <row r="406" spans="3:4" x14ac:dyDescent="0.2">
      <c r="C406" s="294"/>
      <c r="D406" s="266"/>
    </row>
    <row r="407" spans="3:4" x14ac:dyDescent="0.2">
      <c r="C407" s="294"/>
      <c r="D407" s="266"/>
    </row>
    <row r="408" spans="3:4" x14ac:dyDescent="0.2">
      <c r="C408" s="294"/>
      <c r="D408" s="266"/>
    </row>
    <row r="409" spans="3:4" x14ac:dyDescent="0.2">
      <c r="C409" s="294"/>
      <c r="D409" s="266"/>
    </row>
    <row r="410" spans="3:4" x14ac:dyDescent="0.2">
      <c r="C410" s="294"/>
      <c r="D410" s="266"/>
    </row>
    <row r="411" spans="3:4" x14ac:dyDescent="0.2">
      <c r="C411" s="294"/>
      <c r="D411" s="266"/>
    </row>
    <row r="412" spans="3:4" x14ac:dyDescent="0.2">
      <c r="C412" s="294"/>
      <c r="D412" s="266"/>
    </row>
    <row r="413" spans="3:4" x14ac:dyDescent="0.2">
      <c r="C413" s="294"/>
      <c r="D413" s="266"/>
    </row>
    <row r="414" spans="3:4" x14ac:dyDescent="0.2">
      <c r="C414" s="294"/>
      <c r="D414" s="266"/>
    </row>
    <row r="415" spans="3:4" x14ac:dyDescent="0.2">
      <c r="C415" s="294"/>
      <c r="D415" s="266"/>
    </row>
    <row r="416" spans="3:4" x14ac:dyDescent="0.2">
      <c r="C416" s="294"/>
      <c r="D416" s="266"/>
    </row>
    <row r="417" spans="3:4" x14ac:dyDescent="0.2">
      <c r="C417" s="294"/>
      <c r="D417" s="266"/>
    </row>
    <row r="418" spans="3:4" x14ac:dyDescent="0.2">
      <c r="C418" s="294"/>
      <c r="D418" s="266"/>
    </row>
    <row r="419" spans="3:4" x14ac:dyDescent="0.2">
      <c r="C419" s="294"/>
      <c r="D419" s="266"/>
    </row>
    <row r="420" spans="3:4" x14ac:dyDescent="0.2">
      <c r="C420" s="294"/>
      <c r="D420" s="266"/>
    </row>
    <row r="421" spans="3:4" x14ac:dyDescent="0.2">
      <c r="C421" s="294"/>
      <c r="D421" s="266"/>
    </row>
    <row r="422" spans="3:4" x14ac:dyDescent="0.2">
      <c r="C422" s="294"/>
      <c r="D422" s="266"/>
    </row>
    <row r="423" spans="3:4" x14ac:dyDescent="0.2">
      <c r="C423" s="294"/>
      <c r="D423" s="266"/>
    </row>
    <row r="424" spans="3:4" x14ac:dyDescent="0.2">
      <c r="C424" s="294"/>
      <c r="D424" s="266"/>
    </row>
    <row r="425" spans="3:4" x14ac:dyDescent="0.2">
      <c r="C425" s="294"/>
      <c r="D425" s="266"/>
    </row>
    <row r="426" spans="3:4" x14ac:dyDescent="0.2">
      <c r="C426" s="294"/>
      <c r="D426" s="266"/>
    </row>
    <row r="427" spans="3:4" x14ac:dyDescent="0.2">
      <c r="C427" s="294"/>
      <c r="D427" s="266"/>
    </row>
    <row r="428" spans="3:4" x14ac:dyDescent="0.2">
      <c r="C428" s="294"/>
      <c r="D428" s="266"/>
    </row>
    <row r="429" spans="3:4" x14ac:dyDescent="0.2">
      <c r="C429" s="294"/>
      <c r="D429" s="266"/>
    </row>
    <row r="430" spans="3:4" x14ac:dyDescent="0.2">
      <c r="C430" s="294"/>
      <c r="D430" s="266"/>
    </row>
    <row r="431" spans="3:4" x14ac:dyDescent="0.2">
      <c r="C431" s="294"/>
      <c r="D431" s="266"/>
    </row>
    <row r="432" spans="3:4" x14ac:dyDescent="0.2">
      <c r="C432" s="294"/>
      <c r="D432" s="266"/>
    </row>
    <row r="433" spans="3:4" x14ac:dyDescent="0.2">
      <c r="C433" s="294"/>
      <c r="D433" s="266"/>
    </row>
    <row r="434" spans="3:4" x14ac:dyDescent="0.2">
      <c r="C434" s="294"/>
      <c r="D434" s="266"/>
    </row>
    <row r="435" spans="3:4" x14ac:dyDescent="0.2">
      <c r="C435" s="294"/>
      <c r="D435" s="266"/>
    </row>
    <row r="436" spans="3:4" x14ac:dyDescent="0.2">
      <c r="C436" s="294"/>
      <c r="D436" s="266"/>
    </row>
    <row r="437" spans="3:4" x14ac:dyDescent="0.2">
      <c r="C437" s="294"/>
      <c r="D437" s="266"/>
    </row>
    <row r="438" spans="3:4" x14ac:dyDescent="0.2">
      <c r="C438" s="294"/>
      <c r="D438" s="266"/>
    </row>
    <row r="439" spans="3:4" x14ac:dyDescent="0.2">
      <c r="C439" s="294"/>
      <c r="D439" s="266"/>
    </row>
    <row r="440" spans="3:4" x14ac:dyDescent="0.2">
      <c r="C440" s="294"/>
      <c r="D440" s="266"/>
    </row>
    <row r="441" spans="3:4" x14ac:dyDescent="0.2">
      <c r="C441" s="294"/>
      <c r="D441" s="266"/>
    </row>
    <row r="442" spans="3:4" x14ac:dyDescent="0.2">
      <c r="C442" s="294"/>
      <c r="D442" s="266"/>
    </row>
    <row r="443" spans="3:4" x14ac:dyDescent="0.2">
      <c r="C443" s="294"/>
      <c r="D443" s="266"/>
    </row>
    <row r="444" spans="3:4" x14ac:dyDescent="0.2">
      <c r="C444" s="294"/>
      <c r="D444" s="266"/>
    </row>
    <row r="445" spans="3:4" x14ac:dyDescent="0.2">
      <c r="C445" s="294"/>
      <c r="D445" s="266"/>
    </row>
    <row r="446" spans="3:4" x14ac:dyDescent="0.2">
      <c r="C446" s="294"/>
      <c r="D446" s="266"/>
    </row>
    <row r="447" spans="3:4" x14ac:dyDescent="0.2">
      <c r="C447" s="294"/>
      <c r="D447" s="266"/>
    </row>
    <row r="448" spans="3:4" x14ac:dyDescent="0.2">
      <c r="C448" s="294"/>
      <c r="D448" s="266"/>
    </row>
    <row r="449" spans="3:4" x14ac:dyDescent="0.2">
      <c r="C449" s="294"/>
      <c r="D449" s="266"/>
    </row>
    <row r="450" spans="3:4" x14ac:dyDescent="0.2">
      <c r="C450" s="294"/>
      <c r="D450" s="266"/>
    </row>
    <row r="451" spans="3:4" x14ac:dyDescent="0.2">
      <c r="C451" s="294"/>
      <c r="D451" s="266"/>
    </row>
    <row r="452" spans="3:4" x14ac:dyDescent="0.2">
      <c r="C452" s="294"/>
      <c r="D452" s="266"/>
    </row>
    <row r="453" spans="3:4" x14ac:dyDescent="0.2">
      <c r="C453" s="294"/>
      <c r="D453" s="266"/>
    </row>
    <row r="454" spans="3:4" x14ac:dyDescent="0.2">
      <c r="C454" s="294"/>
      <c r="D454" s="266"/>
    </row>
    <row r="455" spans="3:4" x14ac:dyDescent="0.2">
      <c r="C455" s="294"/>
      <c r="D455" s="266"/>
    </row>
    <row r="456" spans="3:4" x14ac:dyDescent="0.2">
      <c r="C456" s="294"/>
      <c r="D456" s="266"/>
    </row>
    <row r="457" spans="3:4" x14ac:dyDescent="0.2">
      <c r="C457" s="294"/>
      <c r="D457" s="266"/>
    </row>
    <row r="458" spans="3:4" x14ac:dyDescent="0.2">
      <c r="C458" s="294"/>
      <c r="D458" s="266"/>
    </row>
    <row r="459" spans="3:4" x14ac:dyDescent="0.2">
      <c r="C459" s="294"/>
      <c r="D459" s="266"/>
    </row>
    <row r="460" spans="3:4" x14ac:dyDescent="0.2">
      <c r="C460" s="294"/>
      <c r="D460" s="266"/>
    </row>
    <row r="461" spans="3:4" x14ac:dyDescent="0.2">
      <c r="C461" s="294"/>
      <c r="D461" s="266"/>
    </row>
    <row r="462" spans="3:4" x14ac:dyDescent="0.2">
      <c r="C462" s="294"/>
      <c r="D462" s="266"/>
    </row>
    <row r="463" spans="3:4" x14ac:dyDescent="0.2">
      <c r="C463" s="294"/>
      <c r="D463" s="266"/>
    </row>
    <row r="464" spans="3:4" x14ac:dyDescent="0.2">
      <c r="C464" s="294"/>
      <c r="D464" s="266"/>
    </row>
    <row r="465" spans="3:4" x14ac:dyDescent="0.2">
      <c r="C465" s="294"/>
      <c r="D465" s="266"/>
    </row>
    <row r="466" spans="3:4" x14ac:dyDescent="0.2">
      <c r="C466" s="294"/>
      <c r="D466" s="266"/>
    </row>
    <row r="467" spans="3:4" x14ac:dyDescent="0.2">
      <c r="C467" s="294"/>
      <c r="D467" s="266"/>
    </row>
    <row r="468" spans="3:4" x14ac:dyDescent="0.2">
      <c r="C468" s="294"/>
      <c r="D468" s="266"/>
    </row>
    <row r="469" spans="3:4" x14ac:dyDescent="0.2">
      <c r="C469" s="294"/>
      <c r="D469" s="266"/>
    </row>
    <row r="470" spans="3:4" x14ac:dyDescent="0.2">
      <c r="C470" s="294"/>
      <c r="D470" s="266"/>
    </row>
    <row r="471" spans="3:4" x14ac:dyDescent="0.2">
      <c r="C471" s="294"/>
      <c r="D471" s="266"/>
    </row>
    <row r="472" spans="3:4" x14ac:dyDescent="0.2">
      <c r="C472" s="294"/>
      <c r="D472" s="266"/>
    </row>
    <row r="473" spans="3:4" x14ac:dyDescent="0.2">
      <c r="C473" s="294"/>
      <c r="D473" s="266"/>
    </row>
    <row r="474" spans="3:4" x14ac:dyDescent="0.2">
      <c r="C474" s="294"/>
      <c r="D474" s="266"/>
    </row>
    <row r="475" spans="3:4" x14ac:dyDescent="0.2">
      <c r="C475" s="294"/>
      <c r="D475" s="266"/>
    </row>
    <row r="476" spans="3:4" x14ac:dyDescent="0.2">
      <c r="C476" s="294"/>
      <c r="D476" s="266"/>
    </row>
    <row r="477" spans="3:4" x14ac:dyDescent="0.2">
      <c r="C477" s="294"/>
      <c r="D477" s="266"/>
    </row>
    <row r="478" spans="3:4" x14ac:dyDescent="0.2">
      <c r="C478" s="294"/>
      <c r="D478" s="266"/>
    </row>
  </sheetData>
  <mergeCells count="41">
    <mergeCell ref="A53:A54"/>
    <mergeCell ref="E203:E204"/>
    <mergeCell ref="A203:A204"/>
    <mergeCell ref="C203:C204"/>
    <mergeCell ref="G92:G93"/>
    <mergeCell ref="A55:A56"/>
    <mergeCell ref="D150:D151"/>
    <mergeCell ref="A150:A151"/>
    <mergeCell ref="E136:E137"/>
    <mergeCell ref="D136:D137"/>
    <mergeCell ref="A136:A137"/>
    <mergeCell ref="A124:A125"/>
    <mergeCell ref="E150:E151"/>
    <mergeCell ref="D124:D125"/>
    <mergeCell ref="E124:E125"/>
    <mergeCell ref="E95:E96"/>
    <mergeCell ref="H92:H93"/>
    <mergeCell ref="I92:I93"/>
    <mergeCell ref="E41:E42"/>
    <mergeCell ref="D41:D42"/>
    <mergeCell ref="D53:D54"/>
    <mergeCell ref="E53:E54"/>
    <mergeCell ref="E55:E56"/>
    <mergeCell ref="D55:D56"/>
    <mergeCell ref="D59:D60"/>
    <mergeCell ref="E59:E60"/>
    <mergeCell ref="E92:E93"/>
    <mergeCell ref="A41:A42"/>
    <mergeCell ref="A43:A44"/>
    <mergeCell ref="D43:D44"/>
    <mergeCell ref="E43:E44"/>
    <mergeCell ref="A48:A49"/>
    <mergeCell ref="D48:D49"/>
    <mergeCell ref="E48:E49"/>
    <mergeCell ref="A92:A93"/>
    <mergeCell ref="B92:B93"/>
    <mergeCell ref="C92:C93"/>
    <mergeCell ref="E231:E232"/>
    <mergeCell ref="A231:A232"/>
    <mergeCell ref="B231:B232"/>
    <mergeCell ref="C231:C232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71" firstPageNumber="15" orientation="portrait" useFirstPageNumber="1" r:id="rId1"/>
  <headerFooter alignWithMargins="0">
    <oddFooter>&amp;L&amp;"Arial CE,Kurzíva"Zastupitelstvo Olomouckého kraje 26. 6. 2015
4. - Závěrečný účet Olomouckého kraje za rok 2014
Příloha č. 2: Plnění rozpočtu příjmů Olomouckého kraje k 31. 12. 2014&amp;R&amp;"Arial CE,Kurzíva"Strana &amp;P (celkem 484)</oddFooter>
  </headerFooter>
  <rowBreaks count="1" manualBreakCount="1">
    <brk id="33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"/>
  <sheetViews>
    <sheetView workbookViewId="0">
      <selection activeCell="F12" sqref="F12"/>
    </sheetView>
  </sheetViews>
  <sheetFormatPr defaultRowHeight="12.75" x14ac:dyDescent="0.2"/>
  <sheetData/>
  <phoneticPr fontId="1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 </vt:lpstr>
      <vt:lpstr>Příjmy</vt:lpstr>
      <vt:lpstr>List1</vt:lpstr>
      <vt:lpstr>'Rekap '!Názvy_tisku</vt:lpstr>
      <vt:lpstr>Příjmy!Oblast_tisku</vt:lpstr>
      <vt:lpstr>'Rekap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2015-06-08T10:49:34Z</cp:lastPrinted>
  <dcterms:created xsi:type="dcterms:W3CDTF">2011-03-04T08:33:29Z</dcterms:created>
  <dcterms:modified xsi:type="dcterms:W3CDTF">2015-06-08T10:49:40Z</dcterms:modified>
</cp:coreProperties>
</file>